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F8C2076E-F083-48DF-A970-7B769E73B0E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E23" i="6"/>
  <c r="M21" i="6"/>
  <c r="O20" i="6"/>
  <c r="C20" i="6"/>
  <c r="D19" i="6"/>
  <c r="F18" i="6"/>
  <c r="M17" i="6"/>
  <c r="N16" i="6"/>
  <c r="D15" i="6"/>
  <c r="C14" i="6"/>
  <c r="A9" i="6"/>
  <c r="B8" i="6"/>
  <c r="G7" i="6"/>
  <c r="M6" i="6"/>
  <c r="C6" i="6"/>
  <c r="E5" i="6"/>
  <c r="S139" i="1"/>
  <c r="M137" i="1"/>
  <c r="M135" i="1"/>
  <c r="M133" i="1"/>
  <c r="O131" i="1"/>
  <c r="O130" i="1"/>
  <c r="M129" i="1"/>
  <c r="M128" i="1"/>
  <c r="M127" i="1"/>
  <c r="M123" i="1"/>
  <c r="M120" i="1"/>
  <c r="M116" i="1"/>
  <c r="D112" i="1"/>
  <c r="F111" i="1"/>
  <c r="F110" i="1"/>
  <c r="M103" i="1"/>
  <c r="E102" i="1"/>
  <c r="Q101" i="1"/>
  <c r="J101" i="1"/>
  <c r="C101" i="1"/>
  <c r="O100" i="1"/>
  <c r="F100" i="1"/>
  <c r="R99" i="1"/>
  <c r="M99" i="1"/>
  <c r="D99" i="1"/>
  <c r="P98" i="1"/>
  <c r="J98" i="1"/>
  <c r="B98" i="1"/>
  <c r="N97" i="1"/>
  <c r="F97" i="1"/>
  <c r="Q96" i="1"/>
  <c r="L96" i="1"/>
  <c r="D23" i="6"/>
  <c r="E22" i="6"/>
  <c r="G21" i="6"/>
  <c r="N20" i="6"/>
  <c r="O19" i="6"/>
  <c r="A19" i="6"/>
  <c r="E18" i="6"/>
  <c r="F17" i="6"/>
  <c r="H16" i="6"/>
  <c r="O15" i="6"/>
  <c r="A8" i="6"/>
  <c r="F7" i="6"/>
  <c r="N5" i="6"/>
  <c r="D5" i="6"/>
  <c r="F4" i="6"/>
  <c r="D3" i="6"/>
  <c r="S141" i="1"/>
  <c r="M139" i="1"/>
  <c r="S136" i="1"/>
  <c r="O134" i="1"/>
  <c r="S132" i="1"/>
  <c r="M131" i="1"/>
  <c r="M121" i="1"/>
  <c r="M117" i="1"/>
  <c r="F113" i="1"/>
  <c r="D110" i="1"/>
  <c r="F109" i="1"/>
  <c r="Q103" i="1"/>
  <c r="L103" i="1"/>
  <c r="D102" i="1"/>
  <c r="O101" i="1"/>
  <c r="G101" i="1"/>
  <c r="B101" i="1"/>
  <c r="M100" i="1"/>
  <c r="E100" i="1"/>
  <c r="Q99" i="1"/>
  <c r="J99" i="1"/>
  <c r="C99" i="1"/>
  <c r="O98" i="1"/>
  <c r="F98" i="1"/>
  <c r="R97" i="1"/>
  <c r="M97" i="1"/>
  <c r="D97" i="1"/>
  <c r="P96" i="1"/>
  <c r="J96" i="1"/>
  <c r="B96" i="1"/>
  <c r="C95" i="1"/>
  <c r="D94" i="1"/>
  <c r="D93" i="1"/>
  <c r="E92" i="1"/>
  <c r="F91" i="1"/>
  <c r="F90" i="1"/>
  <c r="G89" i="1"/>
  <c r="B89" i="1"/>
  <c r="B88" i="1"/>
  <c r="C87" i="1"/>
  <c r="O23" i="6"/>
  <c r="B22" i="6"/>
  <c r="G20" i="6"/>
  <c r="C17" i="6"/>
  <c r="H15" i="6"/>
  <c r="D9" i="6"/>
  <c r="M7" i="6"/>
  <c r="A4" i="6"/>
  <c r="S140" i="1"/>
  <c r="O135" i="1"/>
  <c r="S131" i="1"/>
  <c r="S129" i="1"/>
  <c r="O127" i="1"/>
  <c r="F112" i="1"/>
  <c r="M110" i="1"/>
  <c r="J103" i="1"/>
  <c r="N101" i="1"/>
  <c r="Q100" i="1"/>
  <c r="D100" i="1"/>
  <c r="G99" i="1"/>
  <c r="M98" i="1"/>
  <c r="Q97" i="1"/>
  <c r="C97" i="1"/>
  <c r="F96" i="1"/>
  <c r="F95" i="1"/>
  <c r="E94" i="1"/>
  <c r="C93" i="1"/>
  <c r="B92" i="1"/>
  <c r="B91" i="1"/>
  <c r="F89" i="1"/>
  <c r="E88" i="1"/>
  <c r="D87" i="1"/>
  <c r="D86" i="1"/>
  <c r="D85" i="1"/>
  <c r="E84" i="1"/>
  <c r="F83" i="1"/>
  <c r="F82" i="1"/>
  <c r="G81" i="1"/>
  <c r="B81" i="1"/>
  <c r="B80" i="1"/>
  <c r="C79" i="1"/>
  <c r="D78" i="1"/>
  <c r="D77" i="1"/>
  <c r="E76" i="1"/>
  <c r="F75" i="1"/>
  <c r="F74" i="1"/>
  <c r="G73" i="1"/>
  <c r="B73" i="1"/>
  <c r="B72" i="1"/>
  <c r="C71" i="1"/>
  <c r="D70" i="1"/>
  <c r="D69" i="1"/>
  <c r="E68" i="1"/>
  <c r="F67" i="1"/>
  <c r="F66" i="1"/>
  <c r="G65" i="1"/>
  <c r="B65" i="1"/>
  <c r="B64" i="1"/>
  <c r="C63" i="1"/>
  <c r="D62" i="1"/>
  <c r="D61" i="1"/>
  <c r="E60" i="1"/>
  <c r="F59" i="1"/>
  <c r="F58" i="1"/>
  <c r="G57" i="1"/>
  <c r="B57" i="1"/>
  <c r="B56" i="1"/>
  <c r="C55" i="1"/>
  <c r="D54" i="1"/>
  <c r="D53" i="1"/>
  <c r="E52" i="1"/>
  <c r="F51" i="1"/>
  <c r="F50" i="1"/>
  <c r="G49" i="1"/>
  <c r="B49" i="1"/>
  <c r="B48" i="1"/>
  <c r="C47" i="1"/>
  <c r="D46" i="1"/>
  <c r="D45" i="1"/>
  <c r="E44" i="1"/>
  <c r="F43" i="1"/>
  <c r="F42" i="1"/>
  <c r="G41" i="1"/>
  <c r="B41" i="1"/>
  <c r="B40" i="1"/>
  <c r="C39" i="1"/>
  <c r="D38" i="1"/>
  <c r="D37" i="1"/>
  <c r="E36" i="1"/>
  <c r="F35" i="1"/>
  <c r="F34" i="1"/>
  <c r="G33" i="1"/>
  <c r="B33" i="1"/>
  <c r="C32" i="1"/>
  <c r="E31" i="1"/>
  <c r="G30" i="1"/>
  <c r="C30" i="1"/>
  <c r="H23" i="6"/>
  <c r="A22" i="6"/>
  <c r="D20" i="6"/>
  <c r="B17" i="6"/>
  <c r="E15" i="6"/>
  <c r="N9" i="6"/>
  <c r="G6" i="6"/>
  <c r="A5" i="6"/>
  <c r="S138" i="1"/>
  <c r="M134" i="1"/>
  <c r="M111" i="1"/>
  <c r="F102" i="1"/>
  <c r="M101" i="1"/>
  <c r="P100" i="1"/>
  <c r="B100" i="1"/>
  <c r="F99" i="1"/>
  <c r="L98" i="1"/>
  <c r="O97" i="1"/>
  <c r="B97" i="1"/>
  <c r="E96" i="1"/>
  <c r="D95" i="1"/>
  <c r="B94" i="1"/>
  <c r="B93" i="1"/>
  <c r="G91" i="1"/>
  <c r="E90" i="1"/>
  <c r="D89" i="1"/>
  <c r="D88" i="1"/>
  <c r="B87" i="1"/>
  <c r="B86" i="1"/>
  <c r="C85" i="1"/>
  <c r="D84" i="1"/>
  <c r="D83" i="1"/>
  <c r="E82" i="1"/>
  <c r="F81" i="1"/>
  <c r="F80" i="1"/>
  <c r="G79" i="1"/>
  <c r="B79" i="1"/>
  <c r="B78" i="1"/>
  <c r="C77" i="1"/>
  <c r="D76" i="1"/>
  <c r="D75" i="1"/>
  <c r="E74" i="1"/>
  <c r="F73" i="1"/>
  <c r="F72" i="1"/>
  <c r="G71" i="1"/>
  <c r="B71" i="1"/>
  <c r="B70" i="1"/>
  <c r="C69" i="1"/>
  <c r="D68" i="1"/>
  <c r="D67" i="1"/>
  <c r="E66" i="1"/>
  <c r="F65" i="1"/>
  <c r="F64" i="1"/>
  <c r="G63" i="1"/>
  <c r="B63" i="1"/>
  <c r="B62" i="1"/>
  <c r="C61" i="1"/>
  <c r="D60" i="1"/>
  <c r="D59" i="1"/>
  <c r="E58" i="1"/>
  <c r="F57" i="1"/>
  <c r="F56" i="1"/>
  <c r="G55" i="1"/>
  <c r="B55" i="1"/>
  <c r="B54" i="1"/>
  <c r="C53" i="1"/>
  <c r="D52" i="1"/>
  <c r="D51" i="1"/>
  <c r="E50" i="1"/>
  <c r="F49" i="1"/>
  <c r="F48" i="1"/>
  <c r="G47" i="1"/>
  <c r="B47" i="1"/>
  <c r="B46" i="1"/>
  <c r="C45" i="1"/>
  <c r="D44" i="1"/>
  <c r="D43" i="1"/>
  <c r="E42" i="1"/>
  <c r="F41" i="1"/>
  <c r="F40" i="1"/>
  <c r="G39" i="1"/>
  <c r="B39" i="1"/>
  <c r="B38" i="1"/>
  <c r="C37" i="1"/>
  <c r="D36" i="1"/>
  <c r="D35" i="1"/>
  <c r="E34" i="1"/>
  <c r="F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F21" i="6"/>
  <c r="A18" i="6"/>
  <c r="G16" i="6"/>
  <c r="C7" i="6"/>
  <c r="D6" i="6"/>
  <c r="C3" i="6"/>
  <c r="S137" i="1"/>
  <c r="S133" i="1"/>
  <c r="S130" i="1"/>
  <c r="O128" i="1"/>
  <c r="M119" i="1"/>
  <c r="M109" i="1"/>
  <c r="P103" i="1"/>
  <c r="B102" i="1"/>
  <c r="F101" i="1"/>
  <c r="L100" i="1"/>
  <c r="O99" i="1"/>
  <c r="B99" i="1"/>
  <c r="E98" i="1"/>
  <c r="J97" i="1"/>
  <c r="O96" i="1"/>
  <c r="D96" i="1"/>
  <c r="B95" i="1"/>
  <c r="G93" i="1"/>
  <c r="F92" i="1"/>
  <c r="D91" i="1"/>
  <c r="D90" i="1"/>
  <c r="C89" i="1"/>
  <c r="G87" i="1"/>
  <c r="F86" i="1"/>
  <c r="G85" i="1"/>
  <c r="B85" i="1"/>
  <c r="B84" i="1"/>
  <c r="M22" i="6"/>
  <c r="C16" i="6"/>
  <c r="E9" i="6"/>
  <c r="N6" i="6"/>
  <c r="B4" i="6"/>
  <c r="M141" i="1"/>
  <c r="S127" i="1"/>
  <c r="S112" i="1"/>
  <c r="J100" i="1"/>
  <c r="G97" i="1"/>
  <c r="F93" i="1"/>
  <c r="F88" i="1"/>
  <c r="F84" i="1"/>
  <c r="D82" i="1"/>
  <c r="E80" i="1"/>
  <c r="F78" i="1"/>
  <c r="B77" i="1"/>
  <c r="C75" i="1"/>
  <c r="D73" i="1"/>
  <c r="F71" i="1"/>
  <c r="G69" i="1"/>
  <c r="B68" i="1"/>
  <c r="D66" i="1"/>
  <c r="E64" i="1"/>
  <c r="F62" i="1"/>
  <c r="B61" i="1"/>
  <c r="C59" i="1"/>
  <c r="D57" i="1"/>
  <c r="F55" i="1"/>
  <c r="G53" i="1"/>
  <c r="B52" i="1"/>
  <c r="D50" i="1"/>
  <c r="E48" i="1"/>
  <c r="F46" i="1"/>
  <c r="B45" i="1"/>
  <c r="C43" i="1"/>
  <c r="D41" i="1"/>
  <c r="F39" i="1"/>
  <c r="G37" i="1"/>
  <c r="B36" i="1"/>
  <c r="D34" i="1"/>
  <c r="E32" i="1"/>
  <c r="C31" i="1"/>
  <c r="R29" i="1"/>
  <c r="M29" i="1"/>
  <c r="E29" i="1"/>
  <c r="P28" i="1"/>
  <c r="J28" i="1"/>
  <c r="C28" i="1"/>
  <c r="N27" i="1"/>
  <c r="F27" i="1"/>
  <c r="R26" i="1"/>
  <c r="L26" i="1"/>
  <c r="D26" i="1"/>
  <c r="P25" i="1"/>
  <c r="G25" i="1"/>
  <c r="B25" i="1"/>
  <c r="N24" i="1"/>
  <c r="E24" i="1"/>
  <c r="Q23" i="1"/>
  <c r="L23" i="1"/>
  <c r="C23" i="1"/>
  <c r="G22" i="1"/>
  <c r="R21" i="1"/>
  <c r="M21" i="1"/>
  <c r="E21" i="1"/>
  <c r="P20" i="1"/>
  <c r="J20" i="1"/>
  <c r="C20" i="1"/>
  <c r="N19" i="1"/>
  <c r="F19" i="1"/>
  <c r="G18" i="1"/>
  <c r="R17" i="1"/>
  <c r="M17" i="1"/>
  <c r="E17" i="1"/>
  <c r="F16" i="1"/>
  <c r="R15" i="1"/>
  <c r="M15" i="1"/>
  <c r="D15" i="1"/>
  <c r="E14" i="1"/>
  <c r="B11" i="1"/>
  <c r="B8" i="1"/>
  <c r="B5" i="1"/>
  <c r="M118" i="1"/>
  <c r="B90" i="1"/>
  <c r="B83" i="1"/>
  <c r="D79" i="1"/>
  <c r="B74" i="1"/>
  <c r="F68" i="1"/>
  <c r="D63" i="1"/>
  <c r="E54" i="1"/>
  <c r="C49" i="1"/>
  <c r="G43" i="1"/>
  <c r="E38" i="1"/>
  <c r="C33" i="1"/>
  <c r="D30" i="1"/>
  <c r="R28" i="1"/>
  <c r="G27" i="1"/>
  <c r="E26" i="1"/>
  <c r="C25" i="1"/>
  <c r="G24" i="1"/>
  <c r="E23" i="1"/>
  <c r="N21" i="1"/>
  <c r="L20" i="1"/>
  <c r="G19" i="1"/>
  <c r="C18" i="1"/>
  <c r="J16" i="1"/>
  <c r="F14" i="1"/>
  <c r="E5" i="1"/>
  <c r="B21" i="6"/>
  <c r="S135" i="1"/>
  <c r="S110" i="1"/>
  <c r="O103" i="1"/>
  <c r="N99" i="1"/>
  <c r="M96" i="1"/>
  <c r="D92" i="1"/>
  <c r="F87" i="1"/>
  <c r="G83" i="1"/>
  <c r="B82" i="1"/>
  <c r="D80" i="1"/>
  <c r="E78" i="1"/>
  <c r="F76" i="1"/>
  <c r="B75" i="1"/>
  <c r="C73" i="1"/>
  <c r="D71" i="1"/>
  <c r="F69" i="1"/>
  <c r="G67" i="1"/>
  <c r="B66" i="1"/>
  <c r="D64" i="1"/>
  <c r="E62" i="1"/>
  <c r="F60" i="1"/>
  <c r="B59" i="1"/>
  <c r="C57" i="1"/>
  <c r="D55" i="1"/>
  <c r="F53" i="1"/>
  <c r="G51" i="1"/>
  <c r="B50" i="1"/>
  <c r="D48" i="1"/>
  <c r="E46" i="1"/>
  <c r="F44" i="1"/>
  <c r="B43" i="1"/>
  <c r="C41" i="1"/>
  <c r="D39" i="1"/>
  <c r="F37" i="1"/>
  <c r="G35" i="1"/>
  <c r="B34" i="1"/>
  <c r="D32" i="1"/>
  <c r="B31" i="1"/>
  <c r="Q29" i="1"/>
  <c r="L29" i="1"/>
  <c r="C29" i="1"/>
  <c r="O28" i="1"/>
  <c r="G28" i="1"/>
  <c r="R27" i="1"/>
  <c r="M27" i="1"/>
  <c r="E27" i="1"/>
  <c r="P26" i="1"/>
  <c r="J26" i="1"/>
  <c r="C26" i="1"/>
  <c r="N25" i="1"/>
  <c r="F25" i="1"/>
  <c r="R24" i="1"/>
  <c r="L24" i="1"/>
  <c r="D24" i="1"/>
  <c r="P23" i="1"/>
  <c r="G23" i="1"/>
  <c r="B23" i="1"/>
  <c r="E22" i="1"/>
  <c r="Q21" i="1"/>
  <c r="L21" i="1"/>
  <c r="C21" i="1"/>
  <c r="O20" i="1"/>
  <c r="G20" i="1"/>
  <c r="R19" i="1"/>
  <c r="M19" i="1"/>
  <c r="E19" i="1"/>
  <c r="E18" i="1"/>
  <c r="Q17" i="1"/>
  <c r="L17" i="1"/>
  <c r="C17" i="1"/>
  <c r="E16" i="1"/>
  <c r="Q15" i="1"/>
  <c r="J15" i="1"/>
  <c r="C15" i="1"/>
  <c r="D14" i="1"/>
  <c r="B10" i="1"/>
  <c r="F7" i="1"/>
  <c r="E4" i="1"/>
  <c r="P21" i="1"/>
  <c r="E20" i="1"/>
  <c r="L19" i="1"/>
  <c r="C19" i="1"/>
  <c r="P17" i="1"/>
  <c r="B17" i="1"/>
  <c r="O15" i="1"/>
  <c r="B15" i="1"/>
  <c r="B14" i="1"/>
  <c r="F9" i="1"/>
  <c r="B7" i="1"/>
  <c r="N17" i="6"/>
  <c r="D98" i="1"/>
  <c r="C81" i="1"/>
  <c r="G75" i="1"/>
  <c r="E70" i="1"/>
  <c r="C65" i="1"/>
  <c r="G59" i="1"/>
  <c r="D56" i="1"/>
  <c r="F52" i="1"/>
  <c r="D47" i="1"/>
  <c r="B42" i="1"/>
  <c r="F36" i="1"/>
  <c r="F31" i="1"/>
  <c r="F29" i="1"/>
  <c r="L28" i="1"/>
  <c r="P27" i="1"/>
  <c r="Q25" i="1"/>
  <c r="O24" i="1"/>
  <c r="M23" i="1"/>
  <c r="F21" i="1"/>
  <c r="D20" i="1"/>
  <c r="B19" i="1"/>
  <c r="F17" i="1"/>
  <c r="B16" i="1"/>
  <c r="F15" i="1"/>
  <c r="B9" i="1"/>
  <c r="H19" i="6"/>
  <c r="G14" i="6"/>
  <c r="F8" i="6"/>
  <c r="Q2" i="6"/>
  <c r="O132" i="1"/>
  <c r="R101" i="1"/>
  <c r="Q98" i="1"/>
  <c r="G95" i="1"/>
  <c r="C91" i="1"/>
  <c r="E86" i="1"/>
  <c r="C83" i="1"/>
  <c r="D81" i="1"/>
  <c r="F79" i="1"/>
  <c r="G77" i="1"/>
  <c r="B76" i="1"/>
  <c r="D74" i="1"/>
  <c r="E72" i="1"/>
  <c r="F70" i="1"/>
  <c r="B69" i="1"/>
  <c r="C67" i="1"/>
  <c r="D65" i="1"/>
  <c r="F63" i="1"/>
  <c r="G61" i="1"/>
  <c r="B60" i="1"/>
  <c r="D58" i="1"/>
  <c r="E56" i="1"/>
  <c r="F54" i="1"/>
  <c r="B53" i="1"/>
  <c r="C51" i="1"/>
  <c r="D49" i="1"/>
  <c r="F47" i="1"/>
  <c r="G45" i="1"/>
  <c r="B44" i="1"/>
  <c r="D42" i="1"/>
  <c r="E40" i="1"/>
  <c r="F38" i="1"/>
  <c r="B37" i="1"/>
  <c r="C35" i="1"/>
  <c r="D33" i="1"/>
  <c r="G31" i="1"/>
  <c r="E30" i="1"/>
  <c r="P29" i="1"/>
  <c r="G29" i="1"/>
  <c r="B29" i="1"/>
  <c r="N28" i="1"/>
  <c r="E28" i="1"/>
  <c r="Q27" i="1"/>
  <c r="L27" i="1"/>
  <c r="C27" i="1"/>
  <c r="O26" i="1"/>
  <c r="G26" i="1"/>
  <c r="R25" i="1"/>
  <c r="M25" i="1"/>
  <c r="E25" i="1"/>
  <c r="P24" i="1"/>
  <c r="J24" i="1"/>
  <c r="C24" i="1"/>
  <c r="N23" i="1"/>
  <c r="F23" i="1"/>
  <c r="D22" i="1"/>
  <c r="G21" i="1"/>
  <c r="B21" i="1"/>
  <c r="N20" i="1"/>
  <c r="Q19" i="1"/>
  <c r="D18" i="1"/>
  <c r="G17" i="1"/>
  <c r="D16" i="1"/>
  <c r="G15" i="1"/>
  <c r="D101" i="1"/>
  <c r="F94" i="1"/>
  <c r="F85" i="1"/>
  <c r="F77" i="1"/>
  <c r="D72" i="1"/>
  <c r="B67" i="1"/>
  <c r="F61" i="1"/>
  <c r="B58" i="1"/>
  <c r="B51" i="1"/>
  <c r="F45" i="1"/>
  <c r="D40" i="1"/>
  <c r="B35" i="1"/>
  <c r="N29" i="1"/>
  <c r="D28" i="1"/>
  <c r="B27" i="1"/>
  <c r="N26" i="1"/>
  <c r="L25" i="1"/>
  <c r="R23" i="1"/>
  <c r="C22" i="1"/>
  <c r="R20" i="1"/>
  <c r="P19" i="1"/>
  <c r="N17" i="1"/>
  <c r="N15" i="1"/>
  <c r="F11" i="1"/>
  <c r="D122" i="1" l="1"/>
  <c r="P2" i="6"/>
  <c r="M22" i="1"/>
  <c r="H110" i="1"/>
  <c r="H125" i="1"/>
  <c r="H112" i="1"/>
  <c r="H117" i="1"/>
  <c r="B131" i="1"/>
  <c r="O22" i="1"/>
  <c r="B109" i="1"/>
  <c r="D118" i="1"/>
  <c r="H120" i="1"/>
  <c r="H123" i="1"/>
  <c r="H127" i="1"/>
  <c r="B111" i="1"/>
  <c r="B124" i="1"/>
  <c r="H128" i="1"/>
  <c r="B110" i="1"/>
  <c r="D117" i="1"/>
  <c r="H119" i="1"/>
  <c r="H121" i="1"/>
  <c r="D125" i="1"/>
  <c r="H130" i="1"/>
  <c r="J22" i="1"/>
  <c r="P22" i="1"/>
  <c r="B121" i="1"/>
  <c r="H122" i="1"/>
  <c r="D124" i="1"/>
  <c r="H126" i="1"/>
  <c r="B129" i="1"/>
  <c r="H131" i="1"/>
  <c r="L22" i="1"/>
  <c r="Q22" i="1"/>
  <c r="B112" i="1"/>
  <c r="B117" i="1"/>
  <c r="B118" i="1"/>
  <c r="B119" i="1"/>
  <c r="D120" i="1"/>
  <c r="D121" i="1"/>
  <c r="B123" i="1"/>
  <c r="B125" i="1"/>
  <c r="B127" i="1"/>
  <c r="H129"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19" i="6"/>
  <c r="P9" i="6"/>
  <c r="P8" i="6"/>
  <c r="P5" i="6"/>
  <c r="P4" i="6"/>
  <c r="P26" i="6"/>
  <c r="P15" i="6"/>
  <c r="P23" i="6"/>
  <c r="P14" i="6"/>
  <c r="P13" i="6"/>
  <c r="P18" i="6"/>
  <c r="P12" i="6"/>
  <c r="P22" i="6"/>
  <c r="J23" i="6"/>
  <c r="J5" i="6"/>
  <c r="J18" i="6"/>
  <c r="J21" i="6"/>
  <c r="J6" i="6"/>
  <c r="J16" i="6"/>
  <c r="J19" i="6"/>
  <c r="J15" i="6"/>
  <c r="J22" i="6"/>
  <c r="J8" i="6"/>
  <c r="J17" i="6"/>
  <c r="J20" i="6"/>
  <c r="J9" i="6"/>
  <c r="J7" i="6"/>
</calcChain>
</file>

<file path=xl/sharedStrings.xml><?xml version="1.0" encoding="utf-8"?>
<sst xmlns="http://schemas.openxmlformats.org/spreadsheetml/2006/main" count="707" uniqueCount="329">
  <si>
    <t>q19041101.IB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</si>
  <si>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</si>
  <si>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</si>
  <si>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</si>
  <si>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</si>
  <si>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</si>
  <si>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</si>
  <si>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</si>
  <si>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</si>
  <si>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</si>
  <si>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</si>
  <si>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</si>
  <si>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</si>
  <si>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</si>
  <si>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</si>
  <si>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</si>
  <si>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</si>
  <si>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</si>
  <si>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</si>
  <si>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</si>
  <si>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</si>
  <si>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</si>
  <si>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</si>
  <si>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</si>
  <si>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</si>
  <si>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</si>
  <si>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</si>
  <si>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</si>
  <si>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</si>
  <si>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</si>
  <si>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</si>
  <si>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</si>
  <si>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</si>
  <si>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</si>
  <si>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</si>
  <si>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</si>
  <si>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</si>
  <si>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</si>
  <si>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</si>
  <si>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</si>
  <si>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</si>
  <si>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</si>
  <si>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</si>
  <si>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</si>
  <si>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</si>
  <si>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</si>
  <si>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</si>
  <si>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</si>
  <si>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</si>
  <si>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</si>
  <si>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</si>
  <si>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</si>
  <si>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</si>
  <si>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</si>
  <si>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</si>
  <si>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</si>
  <si>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</si>
  <si>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</si>
  <si>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</si>
  <si>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</si>
  <si>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</si>
  <si>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</si>
  <si>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</si>
  <si>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</si>
  <si>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</si>
  <si>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</si>
  <si>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</si>
  <si>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</si>
  <si>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</si>
  <si>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</si>
  <si>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</si>
  <si>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</si>
  <si>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</si>
  <si>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</si>
  <si>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</si>
  <si>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</si>
  <si>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</si>
  <si>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</si>
  <si>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</si>
  <si>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</si>
  <si>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</si>
  <si>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</si>
  <si>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</si>
  <si>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</si>
  <si>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</si>
  <si>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</si>
  <si>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</si>
  <si>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</si>
  <si>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</si>
  <si>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</si>
  <si>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</si>
  <si>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</si>
  <si>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</si>
  <si>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</si>
  <si>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</si>
  <si>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</si>
  <si>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</si>
  <si>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</si>
  <si>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</si>
  <si>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</si>
  <si>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</si>
  <si>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</si>
  <si>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</si>
  <si>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</si>
  <si>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</si>
  <si>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</si>
  <si>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</si>
  <si>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</si>
  <si>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</si>
  <si>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</si>
  <si>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</si>
  <si>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</si>
  <si>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</si>
  <si>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</si>
  <si>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</si>
  <si>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</si>
  <si>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</si>
  <si>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</si>
  <si>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</si>
  <si>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</si>
  <si>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</si>
  <si>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031800657.IB</t>
  </si>
  <si>
    <t>20181112</t>
  </si>
  <si>
    <t>18扬州经开PPN002</t>
  </si>
  <si>
    <t>011801857.IB</t>
  </si>
  <si>
    <t>20180925</t>
  </si>
  <si>
    <t>18扬州经开SCP003</t>
  </si>
  <si>
    <t>031800566.IB</t>
  </si>
  <si>
    <t>20180919</t>
  </si>
  <si>
    <t>18扬州经开PPN001</t>
  </si>
  <si>
    <t>011801780.IB</t>
  </si>
  <si>
    <t>20180911</t>
  </si>
  <si>
    <t>18扬州经开SCP002</t>
  </si>
  <si>
    <t>101800524.IB</t>
  </si>
  <si>
    <t>20180424</t>
  </si>
  <si>
    <t>18扬州经开MTN004</t>
  </si>
  <si>
    <t>101800064.IB</t>
  </si>
  <si>
    <t>20180420</t>
  </si>
  <si>
    <t>18扬州经开MTN003</t>
  </si>
  <si>
    <t>101800049.IB</t>
  </si>
  <si>
    <t>20180119</t>
  </si>
  <si>
    <t>18扬州经开MTN001</t>
  </si>
  <si>
    <t>011800010.IB</t>
  </si>
  <si>
    <t>20180103</t>
  </si>
  <si>
    <t>18扬州经开SCP001</t>
  </si>
  <si>
    <t>101754081.IB</t>
  </si>
  <si>
    <t>20170809</t>
  </si>
  <si>
    <t>17扬州经开MTN005</t>
  </si>
  <si>
    <t>127506.SH</t>
  </si>
  <si>
    <t>20170705</t>
  </si>
  <si>
    <t>17扬开发</t>
  </si>
  <si>
    <t>1780132.IB</t>
  </si>
  <si>
    <t>17扬州开发债</t>
  </si>
  <si>
    <t>101762034.IB</t>
  </si>
  <si>
    <t>20170502</t>
  </si>
  <si>
    <t>17扬州经开MTN003</t>
  </si>
  <si>
    <t>101758018.IB</t>
  </si>
  <si>
    <t>17扬州经开MTN004</t>
  </si>
  <si>
    <t>101758014.IB</t>
  </si>
  <si>
    <t>20170414</t>
  </si>
  <si>
    <t>17扬州经开MTN002</t>
  </si>
  <si>
    <t>101762020.IB</t>
  </si>
  <si>
    <t>20170328</t>
  </si>
  <si>
    <t>17扬州经开MTN001</t>
  </si>
  <si>
    <t>011755018.IB</t>
  </si>
  <si>
    <t>20170314</t>
  </si>
  <si>
    <t>17扬州经开SCP001</t>
  </si>
  <si>
    <t>135573.SH</t>
  </si>
  <si>
    <t>20160718</t>
  </si>
  <si>
    <t>16扬临港</t>
  </si>
  <si>
    <t>041672003.IB</t>
  </si>
  <si>
    <t>20160304</t>
  </si>
  <si>
    <t>16扬州经开CP001</t>
  </si>
  <si>
    <t>125647.SH</t>
  </si>
  <si>
    <t>20151201</t>
  </si>
  <si>
    <t>15绿投01</t>
  </si>
  <si>
    <t>031564159.IB</t>
  </si>
  <si>
    <t>20151111</t>
  </si>
  <si>
    <t>15扬州经开PPN001</t>
  </si>
  <si>
    <t>041572006.IB</t>
  </si>
  <si>
    <t>20150504</t>
  </si>
  <si>
    <t>15扬州经开CP001</t>
  </si>
  <si>
    <t>101466010.IB</t>
  </si>
  <si>
    <t>20141107</t>
  </si>
  <si>
    <t>14扬州经开MTN002</t>
  </si>
  <si>
    <t>041472018.IB</t>
  </si>
  <si>
    <t>20141104</t>
  </si>
  <si>
    <t>14扬州经开CP001</t>
  </si>
  <si>
    <t>125389.SH</t>
  </si>
  <si>
    <t>20140926</t>
  </si>
  <si>
    <t>14绿投02</t>
  </si>
  <si>
    <t>125368.SH</t>
  </si>
  <si>
    <t>20140822</t>
  </si>
  <si>
    <t>14绿投01</t>
  </si>
  <si>
    <t>031490723.IB</t>
  </si>
  <si>
    <t>20140819</t>
  </si>
  <si>
    <t>14扬州经开PPN002</t>
  </si>
  <si>
    <t>031490692.IB</t>
  </si>
  <si>
    <t>20140811</t>
  </si>
  <si>
    <t>14扬经开PPN001</t>
  </si>
  <si>
    <t>125340.SH</t>
  </si>
  <si>
    <t>20140725</t>
  </si>
  <si>
    <t>14恒基债</t>
  </si>
  <si>
    <t>101466004.IB</t>
  </si>
  <si>
    <t>20140619</t>
  </si>
  <si>
    <t>14扬州经开MTN001</t>
  </si>
  <si>
    <t>124567.SH</t>
  </si>
  <si>
    <t>20140305</t>
  </si>
  <si>
    <t>PR扬开发</t>
  </si>
  <si>
    <t>1480118.IB</t>
  </si>
  <si>
    <t>14扬州开发债</t>
  </si>
  <si>
    <t>125188.SH</t>
  </si>
  <si>
    <t>20140106</t>
  </si>
  <si>
    <t>13恒基债</t>
  </si>
  <si>
    <t>125067.SH</t>
  </si>
  <si>
    <t>20130121</t>
  </si>
  <si>
    <t>13威亨债</t>
  </si>
  <si>
    <t>122793.SH</t>
  </si>
  <si>
    <t>20110707</t>
  </si>
  <si>
    <t>PR扬开债</t>
  </si>
  <si>
    <t>1180131.IB</t>
  </si>
  <si>
    <t>11扬州开发债</t>
  </si>
  <si>
    <t>098081.IB</t>
  </si>
  <si>
    <t>20090512</t>
  </si>
  <si>
    <t>09扬州开发债</t>
  </si>
  <si>
    <t>历史主体评级</t>
  </si>
  <si>
    <t>发布日期</t>
  </si>
  <si>
    <t>主体资信级别</t>
  </si>
  <si>
    <t>评级展望</t>
  </si>
  <si>
    <t>评级机构</t>
  </si>
  <si>
    <t>20181123</t>
  </si>
  <si>
    <t>稳定</t>
  </si>
  <si>
    <t>中诚信国际信用评级有限责任公司</t>
  </si>
  <si>
    <t>20181017</t>
  </si>
  <si>
    <t>20180710</t>
  </si>
  <si>
    <t>20180629</t>
  </si>
  <si>
    <t>AA</t>
  </si>
  <si>
    <t>上海新世纪资信评估投资服务有限公司</t>
  </si>
  <si>
    <t>20180320</t>
  </si>
  <si>
    <t>20180129</t>
  </si>
  <si>
    <t>20180115</t>
  </si>
  <si>
    <t>20170718</t>
  </si>
  <si>
    <t>20170623</t>
  </si>
  <si>
    <t>20170419</t>
  </si>
  <si>
    <t>20170302</t>
  </si>
  <si>
    <t>20160907</t>
  </si>
  <si>
    <t>20160725</t>
  </si>
  <si>
    <t>20160630</t>
  </si>
  <si>
    <t>20151202</t>
  </si>
  <si>
    <t>20151026</t>
  </si>
  <si>
    <t>20150730</t>
  </si>
  <si>
    <t>联合资信评估有限公司</t>
  </si>
  <si>
    <t>20150630</t>
  </si>
  <si>
    <t>20141219</t>
  </si>
  <si>
    <t>20140929</t>
  </si>
  <si>
    <t>20140910</t>
  </si>
  <si>
    <t>20140805</t>
  </si>
  <si>
    <t>AA-</t>
  </si>
  <si>
    <t>20140723</t>
  </si>
  <si>
    <t>20140630</t>
  </si>
  <si>
    <t>20140527</t>
  </si>
  <si>
    <t>大公国际资信评估有限公司</t>
  </si>
  <si>
    <t>20140429</t>
  </si>
  <si>
    <t>20130731</t>
  </si>
  <si>
    <t>20130730</t>
  </si>
  <si>
    <t>20130628</t>
  </si>
  <si>
    <t>20130513</t>
  </si>
  <si>
    <t>20121228</t>
  </si>
  <si>
    <t>20120629</t>
  </si>
  <si>
    <t>20110823</t>
  </si>
  <si>
    <t>20110510</t>
  </si>
  <si>
    <t>20100719</t>
  </si>
  <si>
    <t>20090120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</si>
  <si>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</si>
  <si>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</si>
  <si>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</si>
  <si>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</si>
  <si>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</si>
  <si>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</si>
  <si>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</si>
  <si>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</si>
  <si>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</si>
  <si>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</si>
  <si>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</si>
  <si>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</si>
  <si>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</si>
  <si>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</si>
  <si>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</si>
  <si>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</si>
  <si>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</si>
  <si>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</si>
  <si>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</si>
  <si>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</si>
  <si>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</si>
  <si>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</si>
  <si>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</si>
  <si>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</si>
  <si>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</si>
  <si>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</si>
  <si>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</si>
  <si>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</si>
  <si>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</si>
  <si>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</si>
  <si>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</si>
  <si>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</si>
  <si>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</si>
  <si>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</si>
  <si>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</si>
  <si>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</si>
  <si>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</si>
  <si>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</si>
  <si>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</si>
  <si>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</si>
  <si>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扬州经济技术开发区开发总公司</t>
  </si>
  <si>
    <t>地方国有企业</t>
  </si>
  <si>
    <t>房地产--房地产Ⅱ--房地产管理和开发--房地产开发</t>
  </si>
  <si>
    <t>江苏省扬州市维扬路108号</t>
  </si>
  <si>
    <t>扬州经济技术开发区开发总公司于1992年与扬州经济技术开发区一起成立，是扬州经济技术开发区最重要的开发建设主体和资产运营实体，担负着开发区范围内所有土地的开发和基础设施建设的任务，对列入开发区发展计划的项目进行融资、投资、建设、经营等业务具有行业区域垄断性。多年来，公司持续投资开发建设扬州经济技术开发区，为开发区投资环境的改善和招商引资规模的不断扩大做出了巨大贡献。公司作为扬州开发区基础设施建设的投融资主体，肩负着从事开发区重大基础设施建设和重要区域的开发任务，履行项目建设融资、资本运营、经营城市资源的职责，获得了各级政府在政策上的大力支持。</t>
  </si>
  <si>
    <t>扬州市人民政府</t>
  </si>
  <si>
    <t/>
  </si>
  <si>
    <t>AAA</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</si>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</sst>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扬州经济技术开发区开发总公司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江苏省扬州市维扬路108号</v>
      </c>
      <c r="F5" s="117"/>
      <c r="G5" s="117"/>
    </row>
    <row r="6" spans="1:20" s="17" customFormat="1" ht="81" customHeight="1" x14ac:dyDescent="0.25">
      <c r="A6" s="57" t="s">
        <v>6</v>
      </c>
      <c r="B6" s="118" t="str">
        <f>[1]!s_info_briefing(A2)</f>
        <v>扬州经济技术开发区开发总公司于1992年与扬州经济技术开发区一起成立，是扬州经济技术开发区最重要的开发建设主体和资产运营实体，担负着开发区范围内所有土地的开发和基础设施建设的任务，对列入开发区发展计划的项目进行融资、投资、建设、经营等业务具有行业区域垄断性。多年来，公司持续投资开发建设扬州经济技术开发区，为开发区投资环境的改善和招商引资规模的不断扩大做出了巨大贡献。公司作为扬州开发区基础设施建设的投融资主体，肩负着从事开发区重大基础设施建设和重要区域的开发任务，履行项目建设融资、资本运营、经营城市资源的职责，获得了各级政府在政策上的大力支持。</v>
      </c>
      <c r="C6" s="117"/>
      <c r="D6" s="117"/>
      <c r="E6" s="117"/>
      <c r="F6" s="117"/>
      <c r="G6" s="117"/>
    </row>
    <row r="7" spans="1:20" s="17" customFormat="1" x14ac:dyDescent="0.25">
      <c r="A7" s="58" t="s">
        <v>7</v>
      </c>
      <c r="B7" s="119" t="str">
        <f>[1]!b_issuer_shareholder(A2,"",1)</f>
        <v>扬州市人民政府</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q19041101.IB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扬州经济技术开发区开发总公司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382.64176418210002</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0.45313000000000003</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3.6251000000000002</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0.60961368205077138</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2.4199999999999999E-2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16.483552762599999</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0.89770000000000005</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7.6458999999999999E-2</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2.8615514994</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1.5622E-2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2.7432921169999998</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1675000000</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156717052.16</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2661382600</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4763389600</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3500000000</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20925529770.34</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q19041101.IB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0.45313000000000003</v>
      </c>
      <c r="C109" s="54" t="s">
        <v>36</v>
      </c>
      <c r="D109" s="71">
        <f>[1]!s_fa_current(A2,B2)</f>
        <v>3.6251000000000002</v>
      </c>
      <c r="E109" s="54" t="s">
        <v>41</v>
      </c>
      <c r="F109" s="72">
        <f>[1]!s_fa_salescashintoor(A2,B2)/100</f>
        <v>0.89770000000000005</v>
      </c>
      <c r="G109" s="54" t="s">
        <v>42</v>
      </c>
      <c r="H109" s="12">
        <f>S109/100</f>
        <v>7.6458999999999999E-2</v>
      </c>
      <c r="I109" s="54"/>
      <c r="J109" s="16"/>
      <c r="K109" s="25"/>
      <c r="L109" s="34" t="s">
        <v>61</v>
      </c>
      <c r="M109" s="73">
        <f>[1]!s_fa_debttoassets(A2,B2)</f>
        <v>45.313000000000002</v>
      </c>
      <c r="N109" s="54" t="s">
        <v>36</v>
      </c>
      <c r="O109" s="35"/>
      <c r="P109" s="54" t="s">
        <v>41</v>
      </c>
      <c r="Q109" s="35"/>
      <c r="R109" s="54" t="s">
        <v>42</v>
      </c>
      <c r="S109" s="74">
        <f>[1]!s_fa_grossprofitmargin(A2,B2)</f>
        <v>7.6459000000000001</v>
      </c>
    </row>
    <row r="110" spans="1:19" ht="15.75" customHeight="1" x14ac:dyDescent="0.25">
      <c r="A110" s="54" t="s">
        <v>62</v>
      </c>
      <c r="B110" s="12">
        <f>M110/100</f>
        <v>0.85978800000000011</v>
      </c>
      <c r="C110" s="54" t="s">
        <v>63</v>
      </c>
      <c r="D110" s="72">
        <f>[1]!s_fa_quick(A2,B2)</f>
        <v>2.6213000000000002</v>
      </c>
      <c r="E110" s="54" t="s">
        <v>64</v>
      </c>
      <c r="F110" s="71">
        <f>[1]!s_fa_arturn(A2,B2)</f>
        <v>0.38129999999999997</v>
      </c>
      <c r="G110" s="54" t="s">
        <v>65</v>
      </c>
      <c r="H110" s="12">
        <f>S110/100</f>
        <v>0.22868200000000002</v>
      </c>
      <c r="I110" s="54"/>
      <c r="J110" s="16"/>
      <c r="L110" s="54" t="s">
        <v>62</v>
      </c>
      <c r="M110" s="73">
        <f>[1]!s_fa_catoassets(A2,B2)</f>
        <v>85.978800000000007</v>
      </c>
      <c r="N110" s="54" t="s">
        <v>63</v>
      </c>
      <c r="O110" s="35"/>
      <c r="P110" s="54" t="s">
        <v>64</v>
      </c>
      <c r="Q110" s="72"/>
      <c r="R110" s="54" t="s">
        <v>65</v>
      </c>
      <c r="S110" s="74">
        <f>[1]!s_fa_optogr(A2,B2)</f>
        <v>22.868200000000002</v>
      </c>
    </row>
    <row r="111" spans="1:19" ht="15" customHeight="1" x14ac:dyDescent="0.25">
      <c r="A111" s="54" t="s">
        <v>66</v>
      </c>
      <c r="B111" s="12">
        <f>M111/100</f>
        <v>0.52341199999999999</v>
      </c>
      <c r="C111" s="54" t="s">
        <v>39</v>
      </c>
      <c r="D111" s="72">
        <f>[1]!s_fa_ebitdatodebt(A2,B2)</f>
        <v>2.4199999999999999E-2</v>
      </c>
      <c r="E111" s="54" t="s">
        <v>67</v>
      </c>
      <c r="F111" s="71">
        <f>[1]!s_fa_invturn(A2,B2)</f>
        <v>0.1628</v>
      </c>
      <c r="G111" s="54" t="s">
        <v>45</v>
      </c>
      <c r="H111" s="12">
        <f>S111/100</f>
        <v>1.5622E-2</v>
      </c>
      <c r="I111" s="54"/>
      <c r="J111" s="16"/>
      <c r="L111" s="54" t="s">
        <v>66</v>
      </c>
      <c r="M111" s="73">
        <f>[1]!s_fa_currentdebttodebt(A2,B2)</f>
        <v>52.341200000000001</v>
      </c>
      <c r="N111" s="54" t="s">
        <v>39</v>
      </c>
      <c r="O111" s="35"/>
      <c r="P111" s="54" t="s">
        <v>67</v>
      </c>
      <c r="Q111" s="35"/>
      <c r="R111" s="54" t="s">
        <v>45</v>
      </c>
      <c r="S111" s="74">
        <f>[1]!s_fa_roe(A2,B2)</f>
        <v>1.5622</v>
      </c>
    </row>
    <row r="112" spans="1:19" ht="14.25" customHeight="1" x14ac:dyDescent="0.25">
      <c r="A112" s="54" t="s">
        <v>38</v>
      </c>
      <c r="B112" s="75">
        <f>(M116+M117+M118+M119+M120+M121)/M123</f>
        <v>0.60961368205077138</v>
      </c>
      <c r="C112" s="54" t="s">
        <v>68</v>
      </c>
      <c r="D112" s="72">
        <f>[1]!s_fa_ebittointerest(A2,B2)</f>
        <v>1604.8570999999999</v>
      </c>
      <c r="E112" s="54" t="s">
        <v>69</v>
      </c>
      <c r="F112" s="71">
        <f>[1]!s_fa_caturn(A2,B2)</f>
        <v>5.5300000000000002E-2</v>
      </c>
      <c r="G112" s="54" t="s">
        <v>70</v>
      </c>
      <c r="H112" s="12">
        <f>S112/100</f>
        <v>1.0535000000000001E-2</v>
      </c>
      <c r="I112" s="54"/>
      <c r="J112" s="16"/>
      <c r="L112" s="54" t="s">
        <v>38</v>
      </c>
      <c r="M112" s="76"/>
      <c r="N112" s="54" t="s">
        <v>68</v>
      </c>
      <c r="O112" s="35"/>
      <c r="P112" s="54" t="s">
        <v>69</v>
      </c>
      <c r="Q112" s="35"/>
      <c r="R112" s="54" t="s">
        <v>70</v>
      </c>
      <c r="S112" s="74">
        <f>[1]!s_fa_roa2(A2,B2)</f>
        <v>1.0535000000000001</v>
      </c>
    </row>
    <row r="113" spans="1:21" x14ac:dyDescent="0.25">
      <c r="A113" s="30"/>
      <c r="B113" s="31"/>
      <c r="C113" s="30"/>
      <c r="D113" s="32"/>
      <c r="E113" s="30" t="s">
        <v>71</v>
      </c>
      <c r="F113" s="77">
        <f>[1]!s_fa_dupont_faturnover(A2,B2)</f>
        <v>4.5499999999999999E-2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1675000000</v>
      </c>
    </row>
    <row r="117" spans="1:21" ht="14.25" customHeight="1" x14ac:dyDescent="0.25">
      <c r="A117" s="54" t="s">
        <v>77</v>
      </c>
      <c r="B117" s="72">
        <f t="shared" ref="B117:B131" si="1">M127/100000000</f>
        <v>22.661887959899996</v>
      </c>
      <c r="C117" s="54" t="s">
        <v>78</v>
      </c>
      <c r="D117" s="75">
        <f t="shared" ref="D117:D125" si="2">O127/100000000</f>
        <v>16.483552762599999</v>
      </c>
      <c r="E117" s="128" t="s">
        <v>79</v>
      </c>
      <c r="F117" s="121"/>
      <c r="G117" s="121"/>
      <c r="H117" s="129">
        <f t="shared" ref="H117:H131" si="3">S127/100000000</f>
        <v>14.797948610000001</v>
      </c>
      <c r="I117" s="121"/>
      <c r="J117" s="121"/>
      <c r="L117" s="17" t="s">
        <v>48</v>
      </c>
      <c r="M117" s="70">
        <f>[1]!b_stm07_bs(K107,82,L107,1)</f>
        <v>156717052.16</v>
      </c>
    </row>
    <row r="118" spans="1:21" ht="14.25" customHeight="1" x14ac:dyDescent="0.25">
      <c r="A118" s="54" t="s">
        <v>80</v>
      </c>
      <c r="B118" s="72">
        <f t="shared" si="1"/>
        <v>44.2260341645</v>
      </c>
      <c r="C118" s="54" t="s">
        <v>81</v>
      </c>
      <c r="D118" s="75">
        <f t="shared" si="2"/>
        <v>16.1487951993</v>
      </c>
      <c r="E118" s="128" t="s">
        <v>82</v>
      </c>
      <c r="F118" s="121"/>
      <c r="G118" s="121"/>
      <c r="H118" s="129">
        <f t="shared" si="3"/>
        <v>21.842302762500001</v>
      </c>
      <c r="I118" s="121"/>
      <c r="J118" s="121"/>
      <c r="L118" s="17" t="s">
        <v>49</v>
      </c>
      <c r="M118" s="70">
        <f>[1]!b_stm07_bs(K107,88,L107,1)</f>
        <v>2661382600</v>
      </c>
    </row>
    <row r="119" spans="1:21" ht="14.25" customHeight="1" x14ac:dyDescent="0.25">
      <c r="A119" s="54" t="s">
        <v>83</v>
      </c>
      <c r="B119" s="72">
        <f t="shared" si="1"/>
        <v>79.802016805099996</v>
      </c>
      <c r="C119" s="54" t="s">
        <v>84</v>
      </c>
      <c r="D119" s="75">
        <f t="shared" si="2"/>
        <v>15.2232391968</v>
      </c>
      <c r="E119" s="128" t="s">
        <v>85</v>
      </c>
      <c r="F119" s="121"/>
      <c r="G119" s="121"/>
      <c r="H119" s="130">
        <f t="shared" si="3"/>
        <v>36.640251372500003</v>
      </c>
      <c r="I119" s="121"/>
      <c r="J119" s="121"/>
      <c r="L119" s="17" t="s">
        <v>50</v>
      </c>
      <c r="M119" s="70">
        <f>[1]!b_stm07_bs(K107,147,L107,1)</f>
        <v>0</v>
      </c>
    </row>
    <row r="120" spans="1:21" ht="14.25" customHeight="1" x14ac:dyDescent="0.25">
      <c r="A120" s="54" t="s">
        <v>86</v>
      </c>
      <c r="B120" s="72">
        <f t="shared" si="1"/>
        <v>16.4191242839</v>
      </c>
      <c r="C120" s="54" t="s">
        <v>87</v>
      </c>
      <c r="D120" s="75">
        <f t="shared" si="2"/>
        <v>5.4770686299999996E-2</v>
      </c>
      <c r="E120" s="128" t="s">
        <v>88</v>
      </c>
      <c r="F120" s="121"/>
      <c r="G120" s="121"/>
      <c r="H120" s="129">
        <f t="shared" si="3"/>
        <v>18.155809330499999</v>
      </c>
      <c r="I120" s="121"/>
      <c r="J120" s="121"/>
      <c r="L120" s="17" t="s">
        <v>51</v>
      </c>
      <c r="M120" s="70">
        <f>[1]!b_stm07_bs(K107,94,L107,1)</f>
        <v>4763389600</v>
      </c>
    </row>
    <row r="121" spans="1:21" ht="14.25" customHeight="1" x14ac:dyDescent="0.25">
      <c r="A121" s="54" t="s">
        <v>89</v>
      </c>
      <c r="B121" s="72">
        <f t="shared" si="1"/>
        <v>2.9357476800000001E-2</v>
      </c>
      <c r="C121" s="54" t="s">
        <v>90</v>
      </c>
      <c r="D121" s="75">
        <f t="shared" si="2"/>
        <v>0.1198108183</v>
      </c>
      <c r="E121" s="128" t="s">
        <v>91</v>
      </c>
      <c r="F121" s="121"/>
      <c r="G121" s="121"/>
      <c r="H121" s="129">
        <f t="shared" si="3"/>
        <v>15.281967248399999</v>
      </c>
      <c r="I121" s="121"/>
      <c r="J121" s="121"/>
      <c r="L121" s="17" t="s">
        <v>52</v>
      </c>
      <c r="M121" s="70">
        <f>[1]!b_stm07_bs(K107,95,L107,1)</f>
        <v>3500000000</v>
      </c>
    </row>
    <row r="122" spans="1:21" ht="14.25" customHeight="1" x14ac:dyDescent="0.25">
      <c r="A122" s="54" t="s">
        <v>92</v>
      </c>
      <c r="B122" s="72">
        <f t="shared" si="1"/>
        <v>30.771567789200002</v>
      </c>
      <c r="C122" s="54" t="s">
        <v>93</v>
      </c>
      <c r="D122" s="75">
        <f t="shared" si="2"/>
        <v>3.1633669000000002E-3</v>
      </c>
      <c r="E122" s="128" t="s">
        <v>94</v>
      </c>
      <c r="F122" s="121"/>
      <c r="G122" s="121"/>
      <c r="H122" s="130">
        <f t="shared" si="3"/>
        <v>33.896959255500001</v>
      </c>
      <c r="I122" s="121"/>
      <c r="J122" s="121"/>
      <c r="L122" s="17"/>
      <c r="M122" s="17"/>
    </row>
    <row r="123" spans="1:21" ht="14.25" customHeight="1" x14ac:dyDescent="0.25">
      <c r="A123" s="54" t="s">
        <v>95</v>
      </c>
      <c r="B123" s="78">
        <f t="shared" si="1"/>
        <v>382.64176418210002</v>
      </c>
      <c r="C123" s="54" t="s">
        <v>96</v>
      </c>
      <c r="D123" s="75">
        <f t="shared" si="2"/>
        <v>3.7694906124000003</v>
      </c>
      <c r="E123" s="128" t="s">
        <v>97</v>
      </c>
      <c r="F123" s="121"/>
      <c r="G123" s="121"/>
      <c r="H123" s="130">
        <f t="shared" si="3"/>
        <v>2.7432921169999998</v>
      </c>
      <c r="I123" s="121"/>
      <c r="J123" s="121"/>
      <c r="L123" s="17" t="s">
        <v>53</v>
      </c>
      <c r="M123" s="70">
        <f>[1]!b_stm07_bs(K107,141,L107,1)</f>
        <v>20925529770.34</v>
      </c>
    </row>
    <row r="124" spans="1:21" ht="14.25" customHeight="1" x14ac:dyDescent="0.25">
      <c r="A124" s="54" t="s">
        <v>98</v>
      </c>
      <c r="B124" s="72">
        <f t="shared" si="1"/>
        <v>16.75</v>
      </c>
      <c r="C124" s="54" t="s">
        <v>99</v>
      </c>
      <c r="D124" s="75">
        <f t="shared" si="2"/>
        <v>3.8123812727999997</v>
      </c>
      <c r="E124" s="128" t="s">
        <v>100</v>
      </c>
      <c r="F124" s="121"/>
      <c r="G124" s="121"/>
      <c r="H124" s="130">
        <f t="shared" si="3"/>
        <v>-14.9144480585</v>
      </c>
      <c r="I124" s="121"/>
      <c r="J124" s="121"/>
      <c r="L124" s="17"/>
      <c r="M124" s="17"/>
    </row>
    <row r="125" spans="1:21" ht="27" customHeight="1" x14ac:dyDescent="0.25">
      <c r="A125" s="54" t="s">
        <v>101</v>
      </c>
      <c r="B125" s="72">
        <f t="shared" si="1"/>
        <v>26.613826</v>
      </c>
      <c r="C125" s="54" t="s">
        <v>43</v>
      </c>
      <c r="D125" s="75">
        <f t="shared" si="2"/>
        <v>2.8615514994</v>
      </c>
      <c r="E125" s="128" t="s">
        <v>102</v>
      </c>
      <c r="F125" s="121"/>
      <c r="G125" s="121"/>
      <c r="H125" s="129">
        <f t="shared" si="3"/>
        <v>44.68</v>
      </c>
      <c r="I125" s="121"/>
      <c r="J125" s="121"/>
      <c r="L125" s="17"/>
      <c r="M125" s="17"/>
    </row>
    <row r="126" spans="1:21" ht="16.5" customHeight="1" x14ac:dyDescent="0.25">
      <c r="A126" s="54" t="s">
        <v>103</v>
      </c>
      <c r="B126" s="72">
        <f t="shared" si="1"/>
        <v>0</v>
      </c>
      <c r="C126" s="54"/>
      <c r="D126" s="79"/>
      <c r="E126" s="128" t="s">
        <v>104</v>
      </c>
      <c r="F126" s="121"/>
      <c r="G126" s="121"/>
      <c r="H126" s="129">
        <f t="shared" si="3"/>
        <v>58.15</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47.633896</v>
      </c>
      <c r="C127" s="54"/>
      <c r="D127" s="79"/>
      <c r="E127" s="128" t="s">
        <v>106</v>
      </c>
      <c r="F127" s="121"/>
      <c r="G127" s="121"/>
      <c r="H127" s="129">
        <f t="shared" si="3"/>
        <v>20.853000000000002</v>
      </c>
      <c r="I127" s="121"/>
      <c r="J127" s="121"/>
      <c r="L127" s="54" t="s">
        <v>77</v>
      </c>
      <c r="M127" s="74">
        <f>[1]!b_stm07_bs(K107,9,L107,1)</f>
        <v>2266188795.9899998</v>
      </c>
      <c r="N127" s="54" t="s">
        <v>78</v>
      </c>
      <c r="O127" s="74">
        <f>[1]!b_stm07_is(K107,83,L107,1)</f>
        <v>1648355276.26</v>
      </c>
      <c r="P127" s="128" t="s">
        <v>79</v>
      </c>
      <c r="Q127" s="121"/>
      <c r="R127" s="121"/>
      <c r="S127" s="133">
        <f>[1]!b_stm07_cs(K107,9,L107,1)</f>
        <v>1479794861</v>
      </c>
      <c r="T127" s="132"/>
      <c r="U127" s="132"/>
    </row>
    <row r="128" spans="1:21" ht="14.25" customHeight="1" x14ac:dyDescent="0.25">
      <c r="A128" s="54" t="s">
        <v>107</v>
      </c>
      <c r="B128" s="72">
        <f t="shared" si="1"/>
        <v>35</v>
      </c>
      <c r="C128" s="54"/>
      <c r="D128" s="79"/>
      <c r="E128" s="128" t="s">
        <v>108</v>
      </c>
      <c r="F128" s="121"/>
      <c r="G128" s="121"/>
      <c r="H128" s="130">
        <f t="shared" si="3"/>
        <v>131.483</v>
      </c>
      <c r="I128" s="121"/>
      <c r="J128" s="121"/>
      <c r="L128" s="54" t="s">
        <v>80</v>
      </c>
      <c r="M128" s="74">
        <f>[1]!b_stm07_bs(K107,12,L107,1)</f>
        <v>4422603416.4499998</v>
      </c>
      <c r="N128" s="54" t="s">
        <v>81</v>
      </c>
      <c r="O128" s="74">
        <f>[1]!b_stm07_is(K107,84,L107,1)</f>
        <v>1614879519.9300001</v>
      </c>
      <c r="P128" s="128" t="s">
        <v>82</v>
      </c>
      <c r="Q128" s="121"/>
      <c r="R128" s="121"/>
      <c r="S128" s="133">
        <f>[1]!b_stm07_cs(K107,11,L107,1)</f>
        <v>2184230276.25</v>
      </c>
      <c r="T128" s="132"/>
      <c r="U128" s="132"/>
    </row>
    <row r="129" spans="1:21" ht="14.25" customHeight="1" x14ac:dyDescent="0.25">
      <c r="A129" s="54" t="s">
        <v>109</v>
      </c>
      <c r="B129" s="78">
        <f t="shared" si="1"/>
        <v>173.38646647869999</v>
      </c>
      <c r="C129" s="14"/>
      <c r="D129" s="13"/>
      <c r="E129" s="128" t="s">
        <v>110</v>
      </c>
      <c r="F129" s="121"/>
      <c r="G129" s="121"/>
      <c r="H129" s="129">
        <f t="shared" si="3"/>
        <v>75.643000555600011</v>
      </c>
      <c r="I129" s="121"/>
      <c r="J129" s="121"/>
      <c r="L129" s="54" t="s">
        <v>83</v>
      </c>
      <c r="M129" s="74">
        <f>[1]!b_stm07_bs(K107,13,L107,1)</f>
        <v>7980201680.5100002</v>
      </c>
      <c r="N129" s="54" t="s">
        <v>84</v>
      </c>
      <c r="O129" s="74">
        <f>[1]!b_stm07_is(K107,10,L107,1)</f>
        <v>1522323919.6800001</v>
      </c>
      <c r="P129" s="128" t="s">
        <v>85</v>
      </c>
      <c r="Q129" s="121"/>
      <c r="R129" s="121"/>
      <c r="S129" s="134">
        <f>[1]!b_stm07_cs(K107,25,L107,1)</f>
        <v>3664025137.25</v>
      </c>
      <c r="T129" s="132"/>
      <c r="U129" s="132"/>
    </row>
    <row r="130" spans="1:21" ht="14.25" customHeight="1" x14ac:dyDescent="0.25">
      <c r="A130" s="54" t="s">
        <v>111</v>
      </c>
      <c r="B130" s="78">
        <f t="shared" si="1"/>
        <v>209.2552977034</v>
      </c>
      <c r="C130" s="14"/>
      <c r="D130" s="13"/>
      <c r="E130" s="128" t="s">
        <v>112</v>
      </c>
      <c r="F130" s="121"/>
      <c r="G130" s="121"/>
      <c r="H130" s="129">
        <f t="shared" si="3"/>
        <v>109.7011860484</v>
      </c>
      <c r="I130" s="121"/>
      <c r="J130" s="121"/>
      <c r="L130" s="54" t="s">
        <v>86</v>
      </c>
      <c r="M130" s="74">
        <f>[1]!b_stm07_bs(K107,31,L107,1)</f>
        <v>1641912428.3900001</v>
      </c>
      <c r="N130" s="54" t="s">
        <v>87</v>
      </c>
      <c r="O130" s="74">
        <f>[1]!b_stm07_is(K107,12,L107,1)</f>
        <v>5477068.6299999999</v>
      </c>
      <c r="P130" s="128" t="s">
        <v>88</v>
      </c>
      <c r="Q130" s="121"/>
      <c r="R130" s="121"/>
      <c r="S130" s="133">
        <f>[1]!b_stm07_cs(K107,26,L107,1)</f>
        <v>1815580933.05</v>
      </c>
      <c r="T130" s="132"/>
      <c r="U130" s="132"/>
    </row>
    <row r="131" spans="1:21" ht="14.25" customHeight="1" x14ac:dyDescent="0.25">
      <c r="A131" s="15" t="s">
        <v>113</v>
      </c>
      <c r="B131" s="78">
        <f t="shared" si="1"/>
        <v>382.64176418210002</v>
      </c>
      <c r="C131" s="14"/>
      <c r="D131" s="13"/>
      <c r="E131" s="128" t="s">
        <v>114</v>
      </c>
      <c r="F131" s="121"/>
      <c r="G131" s="121"/>
      <c r="H131" s="130">
        <f t="shared" si="3"/>
        <v>21.7818139516</v>
      </c>
      <c r="I131" s="121"/>
      <c r="J131" s="121"/>
      <c r="L131" s="54" t="s">
        <v>89</v>
      </c>
      <c r="M131" s="74">
        <f>[1]!b_stm07_bs(K107,33,L107,1)</f>
        <v>2935747.68</v>
      </c>
      <c r="N131" s="54" t="s">
        <v>90</v>
      </c>
      <c r="O131" s="74">
        <f>[1]!b_stm07_is(K107,13,L107,1)</f>
        <v>11981081.83</v>
      </c>
      <c r="P131" s="128" t="s">
        <v>91</v>
      </c>
      <c r="Q131" s="121"/>
      <c r="R131" s="121"/>
      <c r="S131" s="133">
        <f>[1]!b_stm07_cs(K107,29,L107,1)</f>
        <v>1528196724.8399999</v>
      </c>
      <c r="T131" s="132"/>
      <c r="U131" s="132"/>
    </row>
    <row r="132" spans="1:21" x14ac:dyDescent="0.25">
      <c r="L132" s="54" t="s">
        <v>92</v>
      </c>
      <c r="M132" s="74">
        <f>[1]!b_stm07_bs(K107,37,L107,1)</f>
        <v>3077156778.9200001</v>
      </c>
      <c r="N132" s="54" t="s">
        <v>93</v>
      </c>
      <c r="O132" s="74">
        <f>[1]!b_stm07_is(K107,14,L107,1)</f>
        <v>316336.69</v>
      </c>
      <c r="P132" s="128" t="s">
        <v>94</v>
      </c>
      <c r="Q132" s="121"/>
      <c r="R132" s="121"/>
      <c r="S132" s="134">
        <f>[1]!b_stm07_cs(K107,37,L107,1)</f>
        <v>3389695925.5500002</v>
      </c>
      <c r="T132" s="132"/>
      <c r="U132" s="132"/>
    </row>
    <row r="133" spans="1:21" x14ac:dyDescent="0.25">
      <c r="L133" s="54" t="s">
        <v>95</v>
      </c>
      <c r="M133" s="80">
        <f>[1]!b_stm07_bs(K107,74,L107,1)</f>
        <v>38264176418.209999</v>
      </c>
      <c r="N133" s="54" t="s">
        <v>96</v>
      </c>
      <c r="O133" s="74">
        <f>[1]!b_stm07_is(K107,48,L107,1)</f>
        <v>376949061.24000001</v>
      </c>
      <c r="P133" s="128" t="s">
        <v>97</v>
      </c>
      <c r="Q133" s="121"/>
      <c r="R133" s="121"/>
      <c r="S133" s="134">
        <f>[1]!b_stm07_cs(K107,39,L107,1)</f>
        <v>274329211.69999999</v>
      </c>
      <c r="T133" s="132"/>
      <c r="U133" s="132"/>
    </row>
    <row r="134" spans="1:21" x14ac:dyDescent="0.25">
      <c r="L134" s="54" t="s">
        <v>98</v>
      </c>
      <c r="M134" s="74">
        <f>[1]!b_stm07_bs(K107,75,L107,1)</f>
        <v>1675000000</v>
      </c>
      <c r="N134" s="54" t="s">
        <v>99</v>
      </c>
      <c r="O134" s="74">
        <f>[1]!b_stm07_is(K107,55,L107,1)</f>
        <v>381238127.27999997</v>
      </c>
      <c r="P134" s="128" t="s">
        <v>100</v>
      </c>
      <c r="Q134" s="121"/>
      <c r="R134" s="121"/>
      <c r="S134" s="134">
        <f>[1]!b_stm07_cs(K107,59,L107,1)</f>
        <v>-1491444805.8499999</v>
      </c>
      <c r="T134" s="132"/>
      <c r="U134" s="132"/>
    </row>
    <row r="135" spans="1:21" ht="32.4" customHeight="1" x14ac:dyDescent="0.25">
      <c r="L135" s="54" t="s">
        <v>101</v>
      </c>
      <c r="M135" s="74">
        <f>[1]!b_stm07_bs(K107,88,L107,1)</f>
        <v>2661382600</v>
      </c>
      <c r="N135" s="54" t="s">
        <v>43</v>
      </c>
      <c r="O135" s="74">
        <f>[1]!b_stm07_is(K107,60,L107,1)</f>
        <v>286155149.94</v>
      </c>
      <c r="P135" s="128" t="s">
        <v>102</v>
      </c>
      <c r="Q135" s="121"/>
      <c r="R135" s="121"/>
      <c r="S135" s="133">
        <f>[1]!b_stm07_cs(K107,60,L107,1)</f>
        <v>4468000000</v>
      </c>
      <c r="T135" s="132"/>
      <c r="U135" s="132"/>
    </row>
    <row r="136" spans="1:21" ht="21.6" customHeight="1" x14ac:dyDescent="0.25">
      <c r="L136" s="54" t="s">
        <v>103</v>
      </c>
      <c r="M136" s="74">
        <f>[1]!b_stm07_bs(K107,147,L107,1)</f>
        <v>0</v>
      </c>
      <c r="N136" s="54"/>
      <c r="O136" s="79"/>
      <c r="P136" s="128" t="s">
        <v>104</v>
      </c>
      <c r="Q136" s="121"/>
      <c r="R136" s="121"/>
      <c r="S136" s="133">
        <f>[1]!b_stm07_cs(K107,61,L107,1)</f>
        <v>5815000000</v>
      </c>
      <c r="T136" s="132"/>
      <c r="U136" s="132"/>
    </row>
    <row r="137" spans="1:21" x14ac:dyDescent="0.25">
      <c r="L137" s="54" t="s">
        <v>105</v>
      </c>
      <c r="M137" s="74">
        <f>[1]!b_stm07_bs(K107,94,L107,1)</f>
        <v>4763389600</v>
      </c>
      <c r="N137" s="54"/>
      <c r="O137" s="79"/>
      <c r="P137" s="128" t="s">
        <v>106</v>
      </c>
      <c r="Q137" s="121"/>
      <c r="R137" s="121"/>
      <c r="S137" s="133">
        <f>[1]!b_stm07_cs(K107,63,L107,1)</f>
        <v>2085300000</v>
      </c>
      <c r="T137" s="132"/>
      <c r="U137" s="132"/>
    </row>
    <row r="138" spans="1:21" x14ac:dyDescent="0.25">
      <c r="L138" s="54" t="s">
        <v>107</v>
      </c>
      <c r="M138" s="74">
        <f>[1]!b_stm07_bs(K107,95,L107,1)</f>
        <v>3500000000</v>
      </c>
      <c r="N138" s="54"/>
      <c r="O138" s="79"/>
      <c r="P138" s="128" t="s">
        <v>108</v>
      </c>
      <c r="Q138" s="121"/>
      <c r="R138" s="121"/>
      <c r="S138" s="134">
        <f>[1]!b_stm07_cs(K107,68,L107,1)</f>
        <v>13148300000</v>
      </c>
      <c r="T138" s="132"/>
      <c r="U138" s="132"/>
    </row>
    <row r="139" spans="1:21" x14ac:dyDescent="0.25">
      <c r="L139" s="54" t="s">
        <v>109</v>
      </c>
      <c r="M139" s="80">
        <f>[1]!b_stm07_bs(K107,128,L107,1)</f>
        <v>17338646647.869999</v>
      </c>
      <c r="N139" s="14"/>
      <c r="O139" s="13"/>
      <c r="P139" s="128" t="s">
        <v>110</v>
      </c>
      <c r="Q139" s="121"/>
      <c r="R139" s="121"/>
      <c r="S139" s="133">
        <f>[1]!b_stm07_cs(K107,69,L107,1)</f>
        <v>7564300055.5600004</v>
      </c>
      <c r="T139" s="132"/>
      <c r="U139" s="132"/>
    </row>
    <row r="140" spans="1:21" ht="21.6" customHeight="1" x14ac:dyDescent="0.25">
      <c r="L140" s="54" t="s">
        <v>111</v>
      </c>
      <c r="M140" s="80">
        <f>[1]!b_stm07_bs(K107,141,L107,1)</f>
        <v>20925529770.34</v>
      </c>
      <c r="N140" s="14"/>
      <c r="O140" s="13"/>
      <c r="P140" s="128" t="s">
        <v>112</v>
      </c>
      <c r="Q140" s="121"/>
      <c r="R140" s="121"/>
      <c r="S140" s="133">
        <f>[1]!b_stm07_cs(K107,75,L107,1)</f>
        <v>10970118604.84</v>
      </c>
      <c r="T140" s="132"/>
      <c r="U140" s="132"/>
    </row>
    <row r="141" spans="1:21" ht="21.6" customHeight="1" x14ac:dyDescent="0.25">
      <c r="L141" s="15" t="s">
        <v>113</v>
      </c>
      <c r="M141" s="80">
        <f>[1]!b_stm07_bs(K107,145,L107,1)</f>
        <v>38264176418.209999</v>
      </c>
      <c r="N141" s="14"/>
      <c r="O141" s="13"/>
      <c r="P141" s="128" t="s">
        <v>114</v>
      </c>
      <c r="Q141" s="121"/>
      <c r="R141" s="121"/>
      <c r="S141" s="134">
        <f>[1]!b_stm07_cs(K107,77,L107,1)</f>
        <v>2178181395.1599998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313</v>
      </c>
      <c r="C2" s="117"/>
      <c r="D2" s="57" t="s">
        <v>3</v>
      </c>
      <c r="E2" s="116" t="s">
        <v>314</v>
      </c>
      <c r="F2" s="117"/>
      <c r="G2" s="117"/>
    </row>
    <row r="3" spans="1:12" ht="14.25" customHeight="1" x14ac:dyDescent="0.25">
      <c r="A3" s="57" t="s">
        <v>4</v>
      </c>
      <c r="B3" s="116" t="s">
        <v>315</v>
      </c>
      <c r="C3" s="117"/>
      <c r="D3" s="57" t="s">
        <v>5</v>
      </c>
      <c r="E3" s="116" t="s">
        <v>316</v>
      </c>
      <c r="F3" s="117"/>
      <c r="G3" s="117"/>
    </row>
    <row r="4" spans="1:12" ht="113.25" customHeight="1" x14ac:dyDescent="0.25">
      <c r="A4" s="57" t="s">
        <v>6</v>
      </c>
      <c r="B4" s="118" t="s">
        <v>317</v>
      </c>
      <c r="C4" s="117"/>
      <c r="D4" s="117"/>
      <c r="E4" s="117"/>
      <c r="F4" s="117"/>
      <c r="G4" s="117"/>
    </row>
    <row r="5" spans="1:12" ht="14.4" x14ac:dyDescent="0.25">
      <c r="A5" s="81" t="s">
        <v>115</v>
      </c>
      <c r="B5" s="137" t="s">
        <v>318</v>
      </c>
      <c r="C5" s="117"/>
      <c r="D5" s="117"/>
      <c r="E5" s="117"/>
      <c r="F5" s="138">
        <v>1</v>
      </c>
      <c r="G5" s="117"/>
    </row>
    <row r="6" spans="1:12" ht="11.25" customHeight="1" x14ac:dyDescent="0.25">
      <c r="A6" s="81" t="s">
        <v>116</v>
      </c>
      <c r="B6" s="137" t="s">
        <v>319</v>
      </c>
      <c r="C6" s="117"/>
      <c r="D6" s="117"/>
      <c r="E6" s="117"/>
      <c r="F6" s="138" t="s">
        <v>319</v>
      </c>
      <c r="G6" s="117"/>
    </row>
    <row r="7" spans="1:12" ht="11.25" customHeight="1" x14ac:dyDescent="0.25">
      <c r="A7" s="81" t="s">
        <v>117</v>
      </c>
      <c r="B7" s="137" t="s">
        <v>319</v>
      </c>
      <c r="C7" s="117"/>
      <c r="D7" s="117"/>
      <c r="E7" s="117"/>
      <c r="F7" s="138" t="s">
        <v>319</v>
      </c>
      <c r="G7" s="117"/>
    </row>
    <row r="8" spans="1:12" ht="11.25" customHeight="1" x14ac:dyDescent="0.25">
      <c r="A8" s="81" t="s">
        <v>118</v>
      </c>
      <c r="B8" s="137" t="s">
        <v>319</v>
      </c>
      <c r="C8" s="117"/>
      <c r="D8" s="117"/>
      <c r="E8" s="117"/>
      <c r="F8" s="138" t="s">
        <v>319</v>
      </c>
      <c r="G8" s="117"/>
    </row>
    <row r="9" spans="1:12" ht="11.25" customHeight="1" x14ac:dyDescent="0.25">
      <c r="A9" s="81" t="s">
        <v>119</v>
      </c>
      <c r="B9" s="137" t="s">
        <v>319</v>
      </c>
      <c r="C9" s="117"/>
      <c r="D9" s="117"/>
      <c r="E9" s="117"/>
      <c r="F9" s="138" t="s">
        <v>319</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6</v>
      </c>
      <c r="E13" s="63">
        <v>4.5917808219178085</v>
      </c>
      <c r="F13" s="64">
        <v>0</v>
      </c>
      <c r="G13" s="63">
        <v>5</v>
      </c>
    </row>
    <row r="14" spans="1:12" ht="14.4" customHeight="1" x14ac:dyDescent="0.25">
      <c r="A14" t="s">
        <v>124</v>
      </c>
      <c r="B14" t="s">
        <v>125</v>
      </c>
      <c r="C14" t="s">
        <v>126</v>
      </c>
      <c r="D14" s="63">
        <v>4.83</v>
      </c>
      <c r="E14" s="82">
        <v>0.2</v>
      </c>
      <c r="F14">
        <v>0</v>
      </c>
      <c r="G14" s="63">
        <v>5</v>
      </c>
    </row>
    <row r="15" spans="1:12" ht="14.4" customHeight="1" x14ac:dyDescent="0.25">
      <c r="A15" t="s">
        <v>127</v>
      </c>
      <c r="B15" t="s">
        <v>128</v>
      </c>
      <c r="C15" t="s">
        <v>129</v>
      </c>
      <c r="D15" s="63">
        <v>7</v>
      </c>
      <c r="E15" s="82">
        <v>4.4438356164383563</v>
      </c>
      <c r="F15">
        <v>0</v>
      </c>
      <c r="G15" s="63">
        <v>5</v>
      </c>
    </row>
    <row r="16" spans="1:12" ht="14.4" customHeight="1" x14ac:dyDescent="0.25">
      <c r="A16" t="s">
        <v>130</v>
      </c>
      <c r="B16" t="s">
        <v>131</v>
      </c>
      <c r="C16" t="s">
        <v>132</v>
      </c>
      <c r="D16" s="63">
        <v>4.2699999999999996</v>
      </c>
      <c r="E16" s="82">
        <v>0.16164383561643836</v>
      </c>
      <c r="F16">
        <v>0</v>
      </c>
      <c r="G16" s="63">
        <v>10</v>
      </c>
    </row>
    <row r="17" spans="1:7" ht="14.4" customHeight="1" x14ac:dyDescent="0.25">
      <c r="A17" t="s">
        <v>133</v>
      </c>
      <c r="B17" t="s">
        <v>134</v>
      </c>
      <c r="C17" t="s">
        <v>135</v>
      </c>
      <c r="D17" s="63">
        <v>6.35</v>
      </c>
      <c r="E17" s="82">
        <v>4.0383561643835613</v>
      </c>
      <c r="F17" t="s">
        <v>25</v>
      </c>
      <c r="G17" s="63">
        <v>5</v>
      </c>
    </row>
    <row r="18" spans="1:7" ht="14.4" customHeight="1" x14ac:dyDescent="0.25">
      <c r="A18" t="s">
        <v>136</v>
      </c>
      <c r="B18" t="s">
        <v>137</v>
      </c>
      <c r="C18" t="s">
        <v>138</v>
      </c>
      <c r="D18" s="63">
        <v>7.7</v>
      </c>
      <c r="E18" s="82">
        <v>2.0301369863013701</v>
      </c>
      <c r="F18" t="s">
        <v>25</v>
      </c>
      <c r="G18" s="63">
        <v>5</v>
      </c>
    </row>
    <row r="19" spans="1:7" ht="14.4" customHeight="1" x14ac:dyDescent="0.25">
      <c r="A19" t="s">
        <v>139</v>
      </c>
      <c r="B19" t="s">
        <v>140</v>
      </c>
      <c r="C19" t="s">
        <v>141</v>
      </c>
      <c r="D19" s="63">
        <v>6.73</v>
      </c>
      <c r="E19" s="82">
        <v>3.7835616438356166</v>
      </c>
      <c r="F19" t="s">
        <v>25</v>
      </c>
      <c r="G19" s="63">
        <v>5</v>
      </c>
    </row>
    <row r="20" spans="1:7" ht="14.4" customHeight="1" x14ac:dyDescent="0.25">
      <c r="A20" t="s">
        <v>142</v>
      </c>
      <c r="B20" t="s">
        <v>143</v>
      </c>
      <c r="C20" t="s">
        <v>144</v>
      </c>
      <c r="D20" s="63">
        <v>5.6</v>
      </c>
      <c r="E20" s="82">
        <v>0</v>
      </c>
      <c r="F20">
        <v>0</v>
      </c>
      <c r="G20" s="63">
        <v>10</v>
      </c>
    </row>
    <row r="21" spans="1:7" ht="14.4" customHeight="1" x14ac:dyDescent="0.25">
      <c r="A21" t="s">
        <v>145</v>
      </c>
      <c r="B21" t="s">
        <v>146</v>
      </c>
      <c r="C21" t="s">
        <v>147</v>
      </c>
      <c r="D21" s="63">
        <v>7</v>
      </c>
      <c r="E21" s="82">
        <v>3.3287671232876712</v>
      </c>
      <c r="F21" t="s">
        <v>25</v>
      </c>
      <c r="G21" s="63">
        <v>10</v>
      </c>
    </row>
    <row r="22" spans="1:7" ht="14.4" customHeight="1" x14ac:dyDescent="0.25">
      <c r="A22" t="s">
        <v>148</v>
      </c>
      <c r="B22" t="s">
        <v>149</v>
      </c>
      <c r="C22" t="s">
        <v>150</v>
      </c>
      <c r="D22" s="63">
        <v>5.28</v>
      </c>
      <c r="E22" s="82">
        <v>5.2328767123287667</v>
      </c>
      <c r="F22" t="s">
        <v>320</v>
      </c>
      <c r="G22" s="63">
        <v>11</v>
      </c>
    </row>
    <row r="23" spans="1:7" ht="14.4" customHeight="1" x14ac:dyDescent="0.25">
      <c r="A23" t="s">
        <v>151</v>
      </c>
      <c r="B23" t="s">
        <v>149</v>
      </c>
      <c r="C23" t="s">
        <v>152</v>
      </c>
      <c r="D23" s="63">
        <v>5.28</v>
      </c>
      <c r="E23" s="82">
        <v>5.2328767123287667</v>
      </c>
      <c r="F23" t="s">
        <v>320</v>
      </c>
      <c r="G23" s="63">
        <v>11</v>
      </c>
    </row>
    <row r="24" spans="1:7" ht="14.4" customHeight="1" x14ac:dyDescent="0.25">
      <c r="A24" t="s">
        <v>153</v>
      </c>
      <c r="B24" t="s">
        <v>154</v>
      </c>
      <c r="C24" t="s">
        <v>155</v>
      </c>
      <c r="D24" s="63">
        <v>6.45</v>
      </c>
      <c r="E24" s="82">
        <v>1.0602739726027397</v>
      </c>
      <c r="F24" t="s">
        <v>236</v>
      </c>
      <c r="G24" s="63">
        <v>7.5</v>
      </c>
    </row>
    <row r="25" spans="1:7" ht="14.4" customHeight="1" x14ac:dyDescent="0.25">
      <c r="A25" t="s">
        <v>156</v>
      </c>
      <c r="B25" t="s">
        <v>154</v>
      </c>
      <c r="C25" t="s">
        <v>157</v>
      </c>
      <c r="D25" s="63">
        <v>6.5</v>
      </c>
      <c r="E25" s="82">
        <v>1.0602739726027397</v>
      </c>
      <c r="F25" t="s">
        <v>236</v>
      </c>
      <c r="G25" s="63">
        <v>7.5</v>
      </c>
    </row>
    <row r="26" spans="1:7" ht="14.4" customHeight="1" x14ac:dyDescent="0.25">
      <c r="A26" t="s">
        <v>158</v>
      </c>
      <c r="B26" t="s">
        <v>159</v>
      </c>
      <c r="C26" t="s">
        <v>160</v>
      </c>
      <c r="D26" s="63">
        <v>5.72</v>
      </c>
      <c r="E26" s="82">
        <v>1.0164383561643835</v>
      </c>
      <c r="F26" t="s">
        <v>236</v>
      </c>
      <c r="G26" s="63">
        <v>7.5</v>
      </c>
    </row>
    <row r="27" spans="1:7" ht="14.4" customHeight="1" x14ac:dyDescent="0.25">
      <c r="A27" t="s">
        <v>161</v>
      </c>
      <c r="B27" t="s">
        <v>162</v>
      </c>
      <c r="C27" t="s">
        <v>163</v>
      </c>
      <c r="D27" s="63">
        <v>5.85</v>
      </c>
      <c r="E27" s="82">
        <v>0.96174863387978138</v>
      </c>
      <c r="F27" t="s">
        <v>236</v>
      </c>
      <c r="G27" s="63">
        <v>7.5</v>
      </c>
    </row>
    <row r="28" spans="1:7" ht="14.4" customHeight="1" x14ac:dyDescent="0.25">
      <c r="A28" t="s">
        <v>164</v>
      </c>
      <c r="B28" t="s">
        <v>165</v>
      </c>
      <c r="C28" t="s">
        <v>166</v>
      </c>
      <c r="D28" s="63">
        <v>4.6500000000000004</v>
      </c>
      <c r="E28" s="82">
        <v>0</v>
      </c>
      <c r="F28">
        <v>0</v>
      </c>
      <c r="G28" s="63">
        <v>5</v>
      </c>
    </row>
    <row r="29" spans="1:7" ht="14.4" customHeight="1" x14ac:dyDescent="0.25">
      <c r="A29" t="s">
        <v>167</v>
      </c>
      <c r="B29" t="s">
        <v>168</v>
      </c>
      <c r="C29" t="s">
        <v>169</v>
      </c>
      <c r="D29" s="63">
        <v>6.5</v>
      </c>
      <c r="E29" s="82">
        <v>0.26575342465753427</v>
      </c>
      <c r="F29" t="s">
        <v>236</v>
      </c>
      <c r="G29" s="63">
        <v>5</v>
      </c>
    </row>
    <row r="30" spans="1:7" ht="14.4" customHeight="1" x14ac:dyDescent="0.25">
      <c r="A30" t="s">
        <v>170</v>
      </c>
      <c r="B30" t="s">
        <v>171</v>
      </c>
      <c r="C30" t="s">
        <v>172</v>
      </c>
      <c r="D30" s="63">
        <v>2.99</v>
      </c>
      <c r="E30" s="82">
        <v>0</v>
      </c>
      <c r="F30" t="s">
        <v>321</v>
      </c>
      <c r="G30" s="63">
        <v>5</v>
      </c>
    </row>
    <row r="31" spans="1:7" ht="14.4" customHeight="1" x14ac:dyDescent="0.25">
      <c r="A31" t="s">
        <v>173</v>
      </c>
      <c r="B31" t="s">
        <v>174</v>
      </c>
      <c r="C31" t="s">
        <v>175</v>
      </c>
      <c r="D31" s="63">
        <v>5.9</v>
      </c>
      <c r="E31" s="82">
        <v>1.6383561643835618</v>
      </c>
      <c r="F31" t="s">
        <v>236</v>
      </c>
      <c r="G31" s="63">
        <v>10</v>
      </c>
    </row>
    <row r="32" spans="1:7" ht="14.4" customHeight="1" x14ac:dyDescent="0.25">
      <c r="A32" t="s">
        <v>176</v>
      </c>
      <c r="B32" t="s">
        <v>177</v>
      </c>
      <c r="C32" t="s">
        <v>178</v>
      </c>
      <c r="D32" s="63">
        <v>5.0999999999999996</v>
      </c>
      <c r="E32" s="82">
        <v>0</v>
      </c>
      <c r="F32">
        <v>0</v>
      </c>
      <c r="G32" s="63">
        <v>7</v>
      </c>
    </row>
    <row r="33" spans="1:7" ht="14.4" customHeight="1" x14ac:dyDescent="0.25">
      <c r="A33" t="s">
        <v>179</v>
      </c>
      <c r="B33" t="s">
        <v>180</v>
      </c>
      <c r="C33" t="s">
        <v>181</v>
      </c>
      <c r="D33" s="63">
        <v>4.8</v>
      </c>
      <c r="E33" s="82">
        <v>0</v>
      </c>
      <c r="F33" t="s">
        <v>321</v>
      </c>
      <c r="G33" s="63">
        <v>5</v>
      </c>
    </row>
    <row r="34" spans="1:7" ht="14.4" customHeight="1" x14ac:dyDescent="0.25">
      <c r="A34" t="s">
        <v>182</v>
      </c>
      <c r="B34" t="s">
        <v>183</v>
      </c>
      <c r="C34" t="s">
        <v>184</v>
      </c>
      <c r="D34" s="63">
        <v>5.3</v>
      </c>
      <c r="E34" s="82">
        <v>0.58082191780821912</v>
      </c>
      <c r="F34" t="s">
        <v>236</v>
      </c>
      <c r="G34" s="63">
        <v>3</v>
      </c>
    </row>
    <row r="35" spans="1:7" ht="14.4" customHeight="1" x14ac:dyDescent="0.25">
      <c r="A35" t="s">
        <v>185</v>
      </c>
      <c r="B35" t="s">
        <v>186</v>
      </c>
      <c r="C35" t="s">
        <v>187</v>
      </c>
      <c r="D35" s="63">
        <v>4.5</v>
      </c>
      <c r="E35" s="82">
        <v>0</v>
      </c>
      <c r="F35" t="s">
        <v>321</v>
      </c>
      <c r="G35" s="63">
        <v>5</v>
      </c>
    </row>
    <row r="36" spans="1:7" ht="14.4" customHeight="1" x14ac:dyDescent="0.25">
      <c r="A36" t="s">
        <v>188</v>
      </c>
      <c r="B36" t="s">
        <v>189</v>
      </c>
      <c r="C36" t="s">
        <v>190</v>
      </c>
      <c r="D36" s="63">
        <v>8.5</v>
      </c>
      <c r="E36" s="82">
        <v>0</v>
      </c>
      <c r="F36">
        <v>0</v>
      </c>
      <c r="G36" s="63">
        <v>2.5</v>
      </c>
    </row>
    <row r="37" spans="1:7" ht="14.4" customHeight="1" x14ac:dyDescent="0.25">
      <c r="A37" t="s">
        <v>191</v>
      </c>
      <c r="B37" t="s">
        <v>192</v>
      </c>
      <c r="C37" t="s">
        <v>193</v>
      </c>
      <c r="D37" s="63">
        <v>9</v>
      </c>
      <c r="E37" s="82">
        <v>0</v>
      </c>
      <c r="F37">
        <v>0</v>
      </c>
      <c r="G37" s="63">
        <v>3</v>
      </c>
    </row>
    <row r="38" spans="1:7" ht="14.4" customHeight="1" x14ac:dyDescent="0.25">
      <c r="A38" t="s">
        <v>194</v>
      </c>
      <c r="B38" t="s">
        <v>195</v>
      </c>
      <c r="C38" t="s">
        <v>196</v>
      </c>
      <c r="D38" s="63">
        <v>7</v>
      </c>
      <c r="E38" s="82">
        <v>0.35616438356164382</v>
      </c>
      <c r="F38">
        <v>0</v>
      </c>
      <c r="G38" s="63">
        <v>10</v>
      </c>
    </row>
    <row r="39" spans="1:7" ht="14.4" customHeight="1" x14ac:dyDescent="0.25">
      <c r="A39" t="s">
        <v>197</v>
      </c>
      <c r="B39" t="s">
        <v>198</v>
      </c>
      <c r="C39" t="s">
        <v>199</v>
      </c>
      <c r="D39" s="63">
        <v>6.9</v>
      </c>
      <c r="E39" s="82">
        <v>0.33698630136986302</v>
      </c>
      <c r="F39">
        <v>0</v>
      </c>
      <c r="G39" s="63">
        <v>10</v>
      </c>
    </row>
    <row r="40" spans="1:7" ht="14.4" customHeight="1" x14ac:dyDescent="0.25">
      <c r="A40" t="s">
        <v>200</v>
      </c>
      <c r="B40" t="s">
        <v>201</v>
      </c>
      <c r="C40" t="s">
        <v>202</v>
      </c>
      <c r="D40" s="63">
        <v>8.3000000000000007</v>
      </c>
      <c r="E40" s="82">
        <v>0</v>
      </c>
      <c r="F40">
        <v>0</v>
      </c>
      <c r="G40" s="63">
        <v>2.5</v>
      </c>
    </row>
    <row r="41" spans="1:7" ht="14.4" customHeight="1" x14ac:dyDescent="0.25">
      <c r="A41" t="s">
        <v>203</v>
      </c>
      <c r="B41" t="s">
        <v>204</v>
      </c>
      <c r="C41" t="s">
        <v>205</v>
      </c>
      <c r="D41" s="63">
        <v>6.98</v>
      </c>
      <c r="E41" s="82">
        <v>0.18904109589041096</v>
      </c>
      <c r="F41" t="s">
        <v>236</v>
      </c>
      <c r="G41" s="63">
        <v>6</v>
      </c>
    </row>
    <row r="42" spans="1:7" ht="14.4" customHeight="1" x14ac:dyDescent="0.25">
      <c r="A42" t="s">
        <v>206</v>
      </c>
      <c r="B42" t="s">
        <v>207</v>
      </c>
      <c r="C42" t="s">
        <v>208</v>
      </c>
      <c r="D42" s="63">
        <v>7.4</v>
      </c>
      <c r="E42" s="82">
        <v>1.8961748633879782</v>
      </c>
      <c r="F42" t="s">
        <v>236</v>
      </c>
      <c r="G42" s="63">
        <v>10</v>
      </c>
    </row>
    <row r="43" spans="1:7" ht="14.4" customHeight="1" x14ac:dyDescent="0.25">
      <c r="A43" t="s">
        <v>209</v>
      </c>
      <c r="B43" t="s">
        <v>207</v>
      </c>
      <c r="C43" t="s">
        <v>210</v>
      </c>
      <c r="D43" s="63">
        <v>7.4</v>
      </c>
      <c r="E43" s="82">
        <v>1.8961748633879782</v>
      </c>
      <c r="F43" t="s">
        <v>236</v>
      </c>
      <c r="G43" s="63">
        <v>10</v>
      </c>
    </row>
    <row r="44" spans="1:7" ht="14.4" customHeight="1" x14ac:dyDescent="0.25">
      <c r="A44" t="s">
        <v>211</v>
      </c>
      <c r="B44" t="s">
        <v>212</v>
      </c>
      <c r="C44" t="s">
        <v>213</v>
      </c>
      <c r="D44" s="63">
        <v>8.5</v>
      </c>
      <c r="E44" s="82">
        <v>0</v>
      </c>
      <c r="F44">
        <v>0</v>
      </c>
      <c r="G44" s="63">
        <v>2</v>
      </c>
    </row>
    <row r="45" spans="1:7" ht="14.4" customHeight="1" x14ac:dyDescent="0.25">
      <c r="A45" t="s">
        <v>214</v>
      </c>
      <c r="B45" t="s">
        <v>215</v>
      </c>
      <c r="C45" t="s">
        <v>216</v>
      </c>
      <c r="D45" s="63">
        <v>8.5</v>
      </c>
      <c r="E45" s="82">
        <v>0</v>
      </c>
      <c r="F45">
        <v>0</v>
      </c>
      <c r="G45" s="63">
        <v>1.5</v>
      </c>
    </row>
    <row r="46" spans="1:7" ht="14.4" customHeight="1" x14ac:dyDescent="0.25">
      <c r="A46" t="s">
        <v>217</v>
      </c>
      <c r="B46" t="s">
        <v>218</v>
      </c>
      <c r="C46" t="s">
        <v>219</v>
      </c>
      <c r="D46" s="63">
        <v>6.1</v>
      </c>
      <c r="E46" s="82">
        <v>0</v>
      </c>
      <c r="F46" t="s">
        <v>320</v>
      </c>
      <c r="G46" s="63">
        <v>10</v>
      </c>
    </row>
    <row r="47" spans="1:7" ht="14.4" customHeight="1" x14ac:dyDescent="0.25">
      <c r="A47" t="s">
        <v>220</v>
      </c>
      <c r="B47" t="s">
        <v>218</v>
      </c>
      <c r="C47" t="s">
        <v>221</v>
      </c>
      <c r="D47" s="63">
        <v>6.1</v>
      </c>
      <c r="E47" s="82">
        <v>0</v>
      </c>
      <c r="F47" t="s">
        <v>320</v>
      </c>
      <c r="G47" s="63">
        <v>10</v>
      </c>
    </row>
    <row r="48" spans="1:7" ht="14.4" customHeight="1" x14ac:dyDescent="0.25">
      <c r="A48" t="s">
        <v>222</v>
      </c>
      <c r="B48" t="s">
        <v>223</v>
      </c>
      <c r="C48" t="s">
        <v>224</v>
      </c>
      <c r="D48" s="63">
        <v>5.8</v>
      </c>
      <c r="E48" s="82">
        <v>0</v>
      </c>
      <c r="F48" t="s">
        <v>236</v>
      </c>
      <c r="G48" s="63">
        <v>8</v>
      </c>
    </row>
    <row r="49" spans="1:7" ht="14.4" customHeight="1" x14ac:dyDescent="0.25">
      <c r="D49" s="63"/>
      <c r="E49" s="82"/>
      <c r="G49" s="63"/>
    </row>
    <row r="50" spans="1:7" ht="14.4" customHeight="1" x14ac:dyDescent="0.25">
      <c r="D50" s="63"/>
      <c r="E50" s="82"/>
      <c r="G50" s="63"/>
    </row>
    <row r="51" spans="1:7" ht="14.4" customHeight="1" x14ac:dyDescent="0.25">
      <c r="D51" s="63"/>
      <c r="E51" s="82"/>
      <c r="G51" s="63"/>
    </row>
    <row r="52" spans="1:7" ht="14.4" customHeight="1" x14ac:dyDescent="0.25">
      <c r="D52" s="63"/>
      <c r="E52" s="82"/>
      <c r="G52" s="63"/>
    </row>
    <row r="53" spans="1:7" ht="14.4" customHeight="1" x14ac:dyDescent="0.25">
      <c r="D53" s="63"/>
      <c r="E53" s="82"/>
      <c r="G53" s="63"/>
    </row>
    <row r="54" spans="1:7" ht="14.4" customHeight="1" x14ac:dyDescent="0.25">
      <c r="A54" s="140" t="s">
        <v>225</v>
      </c>
      <c r="B54" s="140"/>
      <c r="C54" s="140"/>
      <c r="D54" s="140"/>
      <c r="E54" s="82"/>
      <c r="G54" s="63"/>
    </row>
    <row r="55" spans="1:7" ht="14.4" customHeight="1" x14ac:dyDescent="0.25">
      <c r="A55" s="83" t="s">
        <v>226</v>
      </c>
      <c r="B55" s="83" t="s">
        <v>227</v>
      </c>
      <c r="C55" s="83" t="s">
        <v>228</v>
      </c>
      <c r="D55" s="84" t="s">
        <v>229</v>
      </c>
      <c r="E55" s="82"/>
      <c r="G55" s="63"/>
    </row>
    <row r="56" spans="1:7" ht="14.4" customHeight="1" x14ac:dyDescent="0.25">
      <c r="A56" t="s">
        <v>230</v>
      </c>
      <c r="B56" t="s">
        <v>25</v>
      </c>
      <c r="C56" t="s">
        <v>231</v>
      </c>
      <c r="D56" s="63" t="s">
        <v>232</v>
      </c>
      <c r="E56" s="82"/>
      <c r="G56" s="63"/>
    </row>
    <row r="57" spans="1:7" ht="14.4" customHeight="1" x14ac:dyDescent="0.25">
      <c r="A57" t="s">
        <v>233</v>
      </c>
      <c r="B57" t="s">
        <v>25</v>
      </c>
      <c r="C57" t="s">
        <v>231</v>
      </c>
      <c r="D57" s="63" t="s">
        <v>232</v>
      </c>
      <c r="E57" s="82"/>
      <c r="G57" s="63"/>
    </row>
    <row r="58" spans="1:7" ht="14.4" customHeight="1" x14ac:dyDescent="0.25">
      <c r="A58" t="s">
        <v>234</v>
      </c>
      <c r="B58" t="s">
        <v>25</v>
      </c>
      <c r="C58" t="s">
        <v>231</v>
      </c>
      <c r="D58" s="63" t="s">
        <v>232</v>
      </c>
      <c r="E58" s="82"/>
      <c r="G58" s="63"/>
    </row>
    <row r="59" spans="1:7" ht="14.4" customHeight="1" x14ac:dyDescent="0.25">
      <c r="A59" t="s">
        <v>235</v>
      </c>
      <c r="B59" t="s">
        <v>236</v>
      </c>
      <c r="C59" t="s">
        <v>231</v>
      </c>
      <c r="D59" s="63" t="s">
        <v>237</v>
      </c>
      <c r="E59" s="82"/>
      <c r="G59" s="63"/>
    </row>
    <row r="60" spans="1:7" ht="14.4" customHeight="1" x14ac:dyDescent="0.25">
      <c r="A60" t="s">
        <v>238</v>
      </c>
      <c r="B60" t="s">
        <v>236</v>
      </c>
      <c r="C60" t="s">
        <v>231</v>
      </c>
      <c r="D60" s="63" t="s">
        <v>232</v>
      </c>
      <c r="E60" s="82"/>
      <c r="G60" s="63"/>
    </row>
    <row r="61" spans="1:7" ht="14.4" customHeight="1" x14ac:dyDescent="0.25">
      <c r="A61" t="s">
        <v>239</v>
      </c>
      <c r="B61" t="s">
        <v>236</v>
      </c>
      <c r="C61" t="s">
        <v>231</v>
      </c>
      <c r="D61" s="63" t="s">
        <v>232</v>
      </c>
      <c r="E61" s="82"/>
      <c r="G61" s="63"/>
    </row>
    <row r="62" spans="1:7" ht="14.4" customHeight="1" x14ac:dyDescent="0.25">
      <c r="A62" t="s">
        <v>240</v>
      </c>
      <c r="B62" t="s">
        <v>236</v>
      </c>
      <c r="C62" t="s">
        <v>231</v>
      </c>
      <c r="D62" s="63" t="s">
        <v>232</v>
      </c>
      <c r="E62" s="82"/>
      <c r="G62" s="63"/>
    </row>
    <row r="63" spans="1:7" ht="14.4" customHeight="1" x14ac:dyDescent="0.25">
      <c r="A63" t="s">
        <v>241</v>
      </c>
      <c r="B63" t="s">
        <v>236</v>
      </c>
      <c r="C63" t="s">
        <v>231</v>
      </c>
      <c r="D63" s="63" t="s">
        <v>232</v>
      </c>
      <c r="E63" s="82"/>
      <c r="G63" s="63"/>
    </row>
    <row r="64" spans="1:7" ht="14.4" customHeight="1" x14ac:dyDescent="0.25">
      <c r="A64" t="s">
        <v>242</v>
      </c>
      <c r="B64" t="s">
        <v>236</v>
      </c>
      <c r="C64" t="s">
        <v>231</v>
      </c>
      <c r="D64" s="63" t="s">
        <v>237</v>
      </c>
      <c r="E64" s="82"/>
      <c r="G64" s="63"/>
    </row>
    <row r="65" spans="1:7" ht="14.4" customHeight="1" x14ac:dyDescent="0.25">
      <c r="A65" t="s">
        <v>243</v>
      </c>
      <c r="B65" t="s">
        <v>236</v>
      </c>
      <c r="C65" t="s">
        <v>231</v>
      </c>
      <c r="D65" s="63" t="s">
        <v>237</v>
      </c>
      <c r="E65" s="82"/>
      <c r="G65" s="63"/>
    </row>
    <row r="66" spans="1:7" ht="14.4" customHeight="1" x14ac:dyDescent="0.25">
      <c r="A66" t="s">
        <v>244</v>
      </c>
      <c r="B66" t="s">
        <v>236</v>
      </c>
      <c r="C66" t="s">
        <v>231</v>
      </c>
      <c r="D66" s="63" t="s">
        <v>237</v>
      </c>
      <c r="E66" s="82"/>
      <c r="G66" s="63"/>
    </row>
    <row r="67" spans="1:7" ht="14.4" customHeight="1" x14ac:dyDescent="0.25">
      <c r="A67" t="s">
        <v>245</v>
      </c>
      <c r="B67" t="s">
        <v>236</v>
      </c>
      <c r="C67" t="s">
        <v>231</v>
      </c>
      <c r="D67" s="63" t="s">
        <v>237</v>
      </c>
      <c r="E67" s="82"/>
      <c r="G67" s="63"/>
    </row>
    <row r="68" spans="1:7" ht="14.4" customHeight="1" x14ac:dyDescent="0.25">
      <c r="A68" t="s">
        <v>246</v>
      </c>
      <c r="B68" t="s">
        <v>236</v>
      </c>
      <c r="C68" t="s">
        <v>231</v>
      </c>
      <c r="D68" s="63" t="s">
        <v>237</v>
      </c>
      <c r="E68" s="82"/>
      <c r="G68" s="63"/>
    </row>
    <row r="69" spans="1:7" ht="14.4" customHeight="1" x14ac:dyDescent="0.25">
      <c r="A69" t="s">
        <v>247</v>
      </c>
      <c r="B69" t="s">
        <v>236</v>
      </c>
      <c r="C69" t="s">
        <v>231</v>
      </c>
      <c r="D69" s="63" t="s">
        <v>237</v>
      </c>
      <c r="E69" s="82"/>
      <c r="G69" s="63"/>
    </row>
    <row r="70" spans="1:7" ht="14.4" customHeight="1" x14ac:dyDescent="0.25">
      <c r="A70" t="s">
        <v>248</v>
      </c>
      <c r="B70" t="s">
        <v>236</v>
      </c>
      <c r="C70" t="s">
        <v>231</v>
      </c>
      <c r="D70" s="63" t="s">
        <v>237</v>
      </c>
      <c r="E70" s="82"/>
      <c r="G70" s="63"/>
    </row>
    <row r="71" spans="1:7" ht="14.4" customHeight="1" x14ac:dyDescent="0.25">
      <c r="A71" t="s">
        <v>249</v>
      </c>
      <c r="B71" t="s">
        <v>236</v>
      </c>
      <c r="C71" t="s">
        <v>231</v>
      </c>
      <c r="D71" s="63" t="s">
        <v>237</v>
      </c>
      <c r="E71" s="82"/>
      <c r="G71" s="63"/>
    </row>
    <row r="72" spans="1:7" ht="14.4" customHeight="1" x14ac:dyDescent="0.25">
      <c r="A72" t="s">
        <v>250</v>
      </c>
      <c r="B72" t="s">
        <v>236</v>
      </c>
      <c r="C72" t="s">
        <v>231</v>
      </c>
      <c r="D72" s="63" t="s">
        <v>251</v>
      </c>
      <c r="E72" s="82"/>
      <c r="G72" s="63"/>
    </row>
    <row r="73" spans="1:7" ht="14.4" customHeight="1" x14ac:dyDescent="0.25">
      <c r="A73" t="s">
        <v>252</v>
      </c>
      <c r="B73" t="s">
        <v>236</v>
      </c>
      <c r="C73" t="s">
        <v>231</v>
      </c>
      <c r="D73" s="63" t="s">
        <v>237</v>
      </c>
      <c r="E73" s="82"/>
      <c r="G73" s="63"/>
    </row>
    <row r="74" spans="1:7" ht="14.4" customHeight="1" x14ac:dyDescent="0.25">
      <c r="A74" t="s">
        <v>180</v>
      </c>
      <c r="B74" t="s">
        <v>236</v>
      </c>
      <c r="C74" t="s">
        <v>231</v>
      </c>
      <c r="D74" s="63" t="s">
        <v>237</v>
      </c>
      <c r="E74" s="82"/>
      <c r="G74" s="63"/>
    </row>
    <row r="75" spans="1:7" ht="14.4" customHeight="1" x14ac:dyDescent="0.25">
      <c r="A75" t="s">
        <v>253</v>
      </c>
      <c r="B75" t="s">
        <v>236</v>
      </c>
      <c r="C75" t="s">
        <v>231</v>
      </c>
      <c r="D75" s="63" t="s">
        <v>237</v>
      </c>
      <c r="E75" s="82"/>
      <c r="G75" s="63"/>
    </row>
    <row r="76" spans="1:7" ht="14.4" customHeight="1" x14ac:dyDescent="0.25">
      <c r="A76" t="s">
        <v>254</v>
      </c>
      <c r="B76" t="s">
        <v>236</v>
      </c>
      <c r="C76" t="s">
        <v>231</v>
      </c>
      <c r="D76" s="63" t="s">
        <v>237</v>
      </c>
      <c r="E76" s="82"/>
      <c r="G76" s="63"/>
    </row>
    <row r="77" spans="1:7" ht="14.4" customHeight="1" x14ac:dyDescent="0.25">
      <c r="A77" t="s">
        <v>255</v>
      </c>
      <c r="B77" t="s">
        <v>236</v>
      </c>
      <c r="C77" t="s">
        <v>231</v>
      </c>
      <c r="D77" s="63" t="s">
        <v>237</v>
      </c>
      <c r="E77" s="82"/>
      <c r="G77" s="63"/>
    </row>
    <row r="78" spans="1:7" ht="14.4" customHeight="1" x14ac:dyDescent="0.25">
      <c r="A78" t="s">
        <v>198</v>
      </c>
      <c r="B78" t="s">
        <v>236</v>
      </c>
      <c r="C78" t="s">
        <v>231</v>
      </c>
      <c r="D78" s="63" t="s">
        <v>237</v>
      </c>
      <c r="E78" s="82"/>
      <c r="G78" s="63"/>
    </row>
    <row r="79" spans="1:7" ht="14.4" customHeight="1" x14ac:dyDescent="0.25">
      <c r="A79" t="s">
        <v>256</v>
      </c>
      <c r="B79" t="s">
        <v>257</v>
      </c>
      <c r="C79" t="s">
        <v>231</v>
      </c>
      <c r="D79" s="63" t="s">
        <v>251</v>
      </c>
      <c r="E79" s="82"/>
      <c r="G79" s="63"/>
    </row>
    <row r="80" spans="1:7" ht="14.4" customHeight="1" x14ac:dyDescent="0.25">
      <c r="A80" t="s">
        <v>258</v>
      </c>
      <c r="B80" t="s">
        <v>236</v>
      </c>
      <c r="C80" t="s">
        <v>231</v>
      </c>
      <c r="D80" s="63" t="s">
        <v>237</v>
      </c>
      <c r="E80" s="82"/>
      <c r="G80" s="63"/>
    </row>
    <row r="81" spans="1:7" ht="14.4" customHeight="1" x14ac:dyDescent="0.25">
      <c r="A81" t="s">
        <v>259</v>
      </c>
      <c r="B81" t="s">
        <v>236</v>
      </c>
      <c r="C81" t="s">
        <v>231</v>
      </c>
      <c r="D81" s="63" t="s">
        <v>237</v>
      </c>
      <c r="E81" s="82"/>
      <c r="G81" s="63"/>
    </row>
    <row r="82" spans="1:7" ht="14.4" customHeight="1" x14ac:dyDescent="0.25">
      <c r="A82" t="s">
        <v>260</v>
      </c>
      <c r="B82" t="s">
        <v>236</v>
      </c>
      <c r="C82" t="s">
        <v>231</v>
      </c>
      <c r="D82" s="63" t="s">
        <v>261</v>
      </c>
      <c r="E82" s="82"/>
      <c r="G82" s="63"/>
    </row>
    <row r="83" spans="1:7" ht="14.4" customHeight="1" x14ac:dyDescent="0.25">
      <c r="A83" t="s">
        <v>262</v>
      </c>
      <c r="B83" t="s">
        <v>236</v>
      </c>
      <c r="C83" t="s">
        <v>231</v>
      </c>
      <c r="D83" s="63" t="s">
        <v>237</v>
      </c>
      <c r="E83" s="82"/>
      <c r="G83" s="63"/>
    </row>
    <row r="84" spans="1:7" ht="14.4" customHeight="1" x14ac:dyDescent="0.25">
      <c r="A84" t="s">
        <v>263</v>
      </c>
      <c r="B84" t="s">
        <v>257</v>
      </c>
      <c r="C84" t="s">
        <v>231</v>
      </c>
      <c r="D84" s="63" t="s">
        <v>251</v>
      </c>
      <c r="E84" s="82"/>
      <c r="G84" s="63"/>
    </row>
    <row r="85" spans="1:7" ht="14.4" customHeight="1" x14ac:dyDescent="0.25">
      <c r="A85" t="s">
        <v>264</v>
      </c>
      <c r="B85" t="s">
        <v>236</v>
      </c>
      <c r="C85" t="s">
        <v>231</v>
      </c>
      <c r="D85" s="63" t="s">
        <v>261</v>
      </c>
      <c r="E85" s="82"/>
      <c r="G85" s="63"/>
    </row>
    <row r="86" spans="1:7" ht="14.4" customHeight="1" x14ac:dyDescent="0.25">
      <c r="A86" t="s">
        <v>265</v>
      </c>
      <c r="B86" t="s">
        <v>236</v>
      </c>
      <c r="C86" t="s">
        <v>231</v>
      </c>
      <c r="D86" s="63" t="s">
        <v>237</v>
      </c>
      <c r="E86" s="82"/>
      <c r="G86" s="63"/>
    </row>
    <row r="87" spans="1:7" ht="14.4" customHeight="1" x14ac:dyDescent="0.25">
      <c r="A87" t="s">
        <v>266</v>
      </c>
      <c r="B87" t="s">
        <v>236</v>
      </c>
      <c r="C87" t="s">
        <v>231</v>
      </c>
      <c r="D87" s="63" t="s">
        <v>237</v>
      </c>
      <c r="E87" s="82"/>
      <c r="G87" s="63"/>
    </row>
    <row r="88" spans="1:7" ht="14.4" customHeight="1" x14ac:dyDescent="0.25">
      <c r="A88" t="s">
        <v>267</v>
      </c>
      <c r="B88" t="s">
        <v>257</v>
      </c>
      <c r="C88" t="s">
        <v>231</v>
      </c>
      <c r="D88" s="63" t="s">
        <v>251</v>
      </c>
      <c r="E88" s="82"/>
      <c r="G88" s="63"/>
    </row>
    <row r="89" spans="1:7" ht="14.4" customHeight="1" x14ac:dyDescent="0.25">
      <c r="A89" t="s">
        <v>268</v>
      </c>
      <c r="B89" t="s">
        <v>236</v>
      </c>
      <c r="C89" t="s">
        <v>231</v>
      </c>
      <c r="D89" s="63" t="s">
        <v>237</v>
      </c>
      <c r="E89" s="82"/>
      <c r="G89" s="63"/>
    </row>
    <row r="90" spans="1:7" ht="14.4" customHeight="1" x14ac:dyDescent="0.25">
      <c r="A90" t="s">
        <v>269</v>
      </c>
      <c r="B90" t="s">
        <v>257</v>
      </c>
      <c r="C90" t="s">
        <v>231</v>
      </c>
      <c r="D90" s="63" t="s">
        <v>251</v>
      </c>
      <c r="E90" s="82"/>
      <c r="G90" s="63"/>
    </row>
    <row r="91" spans="1:7" ht="14.4" customHeight="1" x14ac:dyDescent="0.25">
      <c r="A91" t="s">
        <v>270</v>
      </c>
      <c r="B91" t="s">
        <v>236</v>
      </c>
      <c r="C91" t="s">
        <v>231</v>
      </c>
      <c r="D91" s="63" t="s">
        <v>237</v>
      </c>
      <c r="E91" s="82"/>
      <c r="G91" s="63"/>
    </row>
    <row r="92" spans="1:7" ht="14.4" customHeight="1" x14ac:dyDescent="0.25">
      <c r="A92" t="s">
        <v>271</v>
      </c>
      <c r="B92" t="s">
        <v>257</v>
      </c>
      <c r="C92" t="s">
        <v>231</v>
      </c>
      <c r="D92" s="63" t="s">
        <v>251</v>
      </c>
      <c r="E92" s="82"/>
      <c r="G92" s="63"/>
    </row>
    <row r="93" spans="1:7" ht="14.4" customHeight="1" x14ac:dyDescent="0.25">
      <c r="A93" t="s">
        <v>272</v>
      </c>
      <c r="B93" t="s">
        <v>257</v>
      </c>
      <c r="C93" t="s">
        <v>231</v>
      </c>
      <c r="D93" s="63" t="s">
        <v>251</v>
      </c>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4:D5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0.45313000000000003</v>
      </c>
      <c r="C4" s="57" t="s">
        <v>36</v>
      </c>
      <c r="D4" s="86">
        <v>3.6251000000000002</v>
      </c>
      <c r="E4" s="57" t="s">
        <v>41</v>
      </c>
      <c r="F4" s="85">
        <v>0.89770000000000005</v>
      </c>
      <c r="G4" s="57" t="s">
        <v>42</v>
      </c>
      <c r="H4" s="85">
        <v>7.6458999999999999E-2</v>
      </c>
      <c r="I4" s="57"/>
      <c r="J4" s="87"/>
    </row>
    <row r="5" spans="1:10" ht="15.75" customHeight="1" x14ac:dyDescent="0.25">
      <c r="A5" s="57" t="s">
        <v>62</v>
      </c>
      <c r="B5" s="85">
        <v>0.85978800000000011</v>
      </c>
      <c r="C5" s="57" t="s">
        <v>63</v>
      </c>
      <c r="D5" s="86">
        <v>2.6213000000000002</v>
      </c>
      <c r="E5" s="57" t="s">
        <v>64</v>
      </c>
      <c r="F5" s="86">
        <v>0.38129999999999997</v>
      </c>
      <c r="G5" s="57" t="s">
        <v>65</v>
      </c>
      <c r="H5" s="85">
        <v>0.22868200000000002</v>
      </c>
      <c r="I5" s="57"/>
      <c r="J5" s="87"/>
    </row>
    <row r="6" spans="1:10" ht="15" customHeight="1" x14ac:dyDescent="0.25">
      <c r="A6" s="57" t="s">
        <v>66</v>
      </c>
      <c r="B6" s="85">
        <v>0.52341199999999999</v>
      </c>
      <c r="C6" s="57" t="s">
        <v>39</v>
      </c>
      <c r="D6" s="88">
        <v>2.4199999999999999E-2</v>
      </c>
      <c r="E6" s="57" t="s">
        <v>67</v>
      </c>
      <c r="F6" s="86">
        <v>0.1628</v>
      </c>
      <c r="G6" s="57" t="s">
        <v>45</v>
      </c>
      <c r="H6" s="85">
        <v>1.5622E-2</v>
      </c>
      <c r="I6" s="57"/>
      <c r="J6" s="87"/>
    </row>
    <row r="7" spans="1:10" ht="14.25" customHeight="1" x14ac:dyDescent="0.25">
      <c r="A7" s="57" t="s">
        <v>38</v>
      </c>
      <c r="B7" s="88">
        <v>0.60961368205077138</v>
      </c>
      <c r="C7" s="57" t="s">
        <v>68</v>
      </c>
      <c r="D7" s="88">
        <v>1604.8570999999999</v>
      </c>
      <c r="E7" s="57" t="s">
        <v>69</v>
      </c>
      <c r="F7" s="86">
        <v>5.5300000000000002E-2</v>
      </c>
      <c r="G7" s="57" t="s">
        <v>70</v>
      </c>
      <c r="H7" s="85">
        <v>1.0535000000000001E-2</v>
      </c>
      <c r="I7" s="57"/>
      <c r="J7" s="87"/>
    </row>
    <row r="8" spans="1:10" x14ac:dyDescent="0.25">
      <c r="A8" s="57"/>
      <c r="B8" s="89"/>
      <c r="C8" s="57"/>
      <c r="D8" s="90"/>
      <c r="E8" s="57" t="s">
        <v>71</v>
      </c>
      <c r="F8" s="86">
        <v>4.5499999999999999E-2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22.661887959899996</v>
      </c>
      <c r="C12" s="57" t="s">
        <v>78</v>
      </c>
      <c r="D12" s="88">
        <v>16.483552762599999</v>
      </c>
      <c r="E12" s="144" t="s">
        <v>79</v>
      </c>
      <c r="F12" s="117"/>
      <c r="G12" s="117"/>
      <c r="H12" s="145">
        <v>14.797948610000001</v>
      </c>
      <c r="I12" s="117"/>
      <c r="J12" s="117"/>
    </row>
    <row r="13" spans="1:10" ht="14.25" customHeight="1" x14ac:dyDescent="0.25">
      <c r="A13" s="57" t="s">
        <v>80</v>
      </c>
      <c r="B13" s="91">
        <v>44.2260341645</v>
      </c>
      <c r="C13" s="57" t="s">
        <v>81</v>
      </c>
      <c r="D13" s="88">
        <v>16.1487951993</v>
      </c>
      <c r="E13" s="144" t="s">
        <v>82</v>
      </c>
      <c r="F13" s="117"/>
      <c r="G13" s="117"/>
      <c r="H13" s="145">
        <v>21.842302762500001</v>
      </c>
      <c r="I13" s="117"/>
      <c r="J13" s="117"/>
    </row>
    <row r="14" spans="1:10" ht="14.25" customHeight="1" x14ac:dyDescent="0.25">
      <c r="A14" s="57" t="s">
        <v>83</v>
      </c>
      <c r="B14" s="91">
        <v>79.802016805099996</v>
      </c>
      <c r="C14" s="57" t="s">
        <v>84</v>
      </c>
      <c r="D14" s="88">
        <v>15.2232391968</v>
      </c>
      <c r="E14" s="144" t="s">
        <v>85</v>
      </c>
      <c r="F14" s="117"/>
      <c r="G14" s="117"/>
      <c r="H14" s="145">
        <v>36.640251372500003</v>
      </c>
      <c r="I14" s="117"/>
      <c r="J14" s="117"/>
    </row>
    <row r="15" spans="1:10" ht="14.25" customHeight="1" x14ac:dyDescent="0.25">
      <c r="A15" s="57" t="s">
        <v>86</v>
      </c>
      <c r="B15" s="91">
        <v>16.4191242839</v>
      </c>
      <c r="C15" s="57" t="s">
        <v>87</v>
      </c>
      <c r="D15" s="88">
        <v>5.4770686299999996E-2</v>
      </c>
      <c r="E15" s="144" t="s">
        <v>88</v>
      </c>
      <c r="F15" s="117"/>
      <c r="G15" s="117"/>
      <c r="H15" s="145">
        <v>18.155809330499999</v>
      </c>
      <c r="I15" s="117"/>
      <c r="J15" s="117"/>
    </row>
    <row r="16" spans="1:10" ht="14.25" customHeight="1" x14ac:dyDescent="0.25">
      <c r="A16" s="57" t="s">
        <v>89</v>
      </c>
      <c r="B16" s="91">
        <v>2.9357476800000001E-2</v>
      </c>
      <c r="C16" s="57" t="s">
        <v>90</v>
      </c>
      <c r="D16" s="88">
        <v>0.1198108183</v>
      </c>
      <c r="E16" s="144" t="s">
        <v>91</v>
      </c>
      <c r="F16" s="117"/>
      <c r="G16" s="117"/>
      <c r="H16" s="145">
        <v>15.281967248399999</v>
      </c>
      <c r="I16" s="117"/>
      <c r="J16" s="117"/>
    </row>
    <row r="17" spans="1:10" ht="14.25" customHeight="1" x14ac:dyDescent="0.25">
      <c r="A17" s="57" t="s">
        <v>92</v>
      </c>
      <c r="B17" s="91">
        <v>30.771567789200002</v>
      </c>
      <c r="C17" s="57" t="s">
        <v>93</v>
      </c>
      <c r="D17" s="88">
        <v>3.1633669000000002E-3</v>
      </c>
      <c r="E17" s="144" t="s">
        <v>94</v>
      </c>
      <c r="F17" s="117"/>
      <c r="G17" s="117"/>
      <c r="H17" s="145">
        <v>33.896959255500001</v>
      </c>
      <c r="I17" s="117"/>
      <c r="J17" s="117"/>
    </row>
    <row r="18" spans="1:10" ht="14.25" customHeight="1" x14ac:dyDescent="0.25">
      <c r="A18" s="57" t="s">
        <v>95</v>
      </c>
      <c r="B18" s="91">
        <v>382.64176418210002</v>
      </c>
      <c r="C18" s="57" t="s">
        <v>96</v>
      </c>
      <c r="D18" s="88">
        <v>3.7694906124000003</v>
      </c>
      <c r="E18" s="144" t="s">
        <v>97</v>
      </c>
      <c r="F18" s="117"/>
      <c r="G18" s="117"/>
      <c r="H18" s="145">
        <v>2.7432921169999998</v>
      </c>
      <c r="I18" s="117"/>
      <c r="J18" s="117"/>
    </row>
    <row r="19" spans="1:10" ht="14.25" customHeight="1" x14ac:dyDescent="0.25">
      <c r="A19" s="57" t="s">
        <v>98</v>
      </c>
      <c r="B19" s="91">
        <v>16.75</v>
      </c>
      <c r="C19" s="57" t="s">
        <v>99</v>
      </c>
      <c r="D19" s="88">
        <v>3.8123812727999997</v>
      </c>
      <c r="E19" s="144" t="s">
        <v>100</v>
      </c>
      <c r="F19" s="117"/>
      <c r="G19" s="117"/>
      <c r="H19" s="145">
        <v>-14.9144480585</v>
      </c>
      <c r="I19" s="117"/>
      <c r="J19" s="117"/>
    </row>
    <row r="20" spans="1:10" ht="27" customHeight="1" x14ac:dyDescent="0.25">
      <c r="A20" s="57" t="s">
        <v>101</v>
      </c>
      <c r="B20" s="91">
        <v>26.613826</v>
      </c>
      <c r="C20" s="57" t="s">
        <v>43</v>
      </c>
      <c r="D20" s="88">
        <v>2.8615514994</v>
      </c>
      <c r="E20" s="144" t="s">
        <v>102</v>
      </c>
      <c r="F20" s="117"/>
      <c r="G20" s="117"/>
      <c r="H20" s="145">
        <v>44.68</v>
      </c>
      <c r="I20" s="117"/>
      <c r="J20" s="117"/>
    </row>
    <row r="21" spans="1:10" ht="16.5" customHeight="1" x14ac:dyDescent="0.25">
      <c r="A21" s="57" t="s">
        <v>103</v>
      </c>
      <c r="B21" s="91">
        <v>0</v>
      </c>
      <c r="C21" s="57"/>
      <c r="D21" s="92"/>
      <c r="E21" s="144" t="s">
        <v>104</v>
      </c>
      <c r="F21" s="117"/>
      <c r="G21" s="117"/>
      <c r="H21" s="145">
        <v>58.15</v>
      </c>
      <c r="I21" s="117"/>
      <c r="J21" s="117"/>
    </row>
    <row r="22" spans="1:10" ht="14.25" customHeight="1" x14ac:dyDescent="0.25">
      <c r="A22" s="57" t="s">
        <v>105</v>
      </c>
      <c r="B22" s="91">
        <v>47.633896</v>
      </c>
      <c r="C22" s="57"/>
      <c r="D22" s="92"/>
      <c r="E22" s="144" t="s">
        <v>106</v>
      </c>
      <c r="F22" s="117"/>
      <c r="G22" s="117"/>
      <c r="H22" s="145">
        <v>20.853000000000002</v>
      </c>
      <c r="I22" s="117"/>
      <c r="J22" s="117"/>
    </row>
    <row r="23" spans="1:10" ht="14.25" customHeight="1" x14ac:dyDescent="0.25">
      <c r="A23" s="57" t="s">
        <v>107</v>
      </c>
      <c r="B23" s="91">
        <v>35</v>
      </c>
      <c r="C23" s="57"/>
      <c r="D23" s="92"/>
      <c r="E23" s="144" t="s">
        <v>108</v>
      </c>
      <c r="F23" s="117"/>
      <c r="G23" s="117"/>
      <c r="H23" s="145">
        <v>131.483</v>
      </c>
      <c r="I23" s="117"/>
      <c r="J23" s="117"/>
    </row>
    <row r="24" spans="1:10" ht="14.25" customHeight="1" x14ac:dyDescent="0.25">
      <c r="A24" s="57" t="s">
        <v>109</v>
      </c>
      <c r="B24" s="91">
        <v>173.38646647869999</v>
      </c>
      <c r="C24" s="93"/>
      <c r="D24" s="90"/>
      <c r="E24" s="144" t="s">
        <v>110</v>
      </c>
      <c r="F24" s="117"/>
      <c r="G24" s="117"/>
      <c r="H24" s="145">
        <v>75.643000555600011</v>
      </c>
      <c r="I24" s="117"/>
      <c r="J24" s="117"/>
    </row>
    <row r="25" spans="1:10" ht="14.25" customHeight="1" x14ac:dyDescent="0.25">
      <c r="A25" s="57" t="s">
        <v>111</v>
      </c>
      <c r="B25" s="91">
        <v>209.2552977034</v>
      </c>
      <c r="C25" s="93"/>
      <c r="D25" s="90"/>
      <c r="E25" s="144" t="s">
        <v>112</v>
      </c>
      <c r="F25" s="117"/>
      <c r="G25" s="117"/>
      <c r="H25" s="145">
        <v>109.7011860484</v>
      </c>
      <c r="I25" s="117"/>
      <c r="J25" s="117"/>
    </row>
    <row r="26" spans="1:10" ht="14.25" customHeight="1" x14ac:dyDescent="0.25">
      <c r="A26" s="94" t="s">
        <v>113</v>
      </c>
      <c r="B26" s="91">
        <v>382.64176418210002</v>
      </c>
      <c r="C26" s="93"/>
      <c r="D26" s="90"/>
      <c r="E26" s="144" t="s">
        <v>114</v>
      </c>
      <c r="F26" s="117"/>
      <c r="G26" s="117"/>
      <c r="H26" s="145">
        <v>21.7818139516</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273</v>
      </c>
      <c r="B1" s="121"/>
      <c r="C1" s="121"/>
      <c r="D1" s="121"/>
      <c r="E1" s="121"/>
      <c r="F1" s="121"/>
      <c r="G1" s="121"/>
      <c r="H1" s="121"/>
      <c r="I1" s="121"/>
    </row>
    <row r="2" spans="1:10" ht="46.5" customHeight="1" x14ac:dyDescent="0.25">
      <c r="A2" s="54" t="s">
        <v>22</v>
      </c>
      <c r="B2" s="43" t="s">
        <v>313</v>
      </c>
      <c r="C2" s="43" t="s">
        <v>274</v>
      </c>
      <c r="D2" s="43" t="s">
        <v>322</v>
      </c>
      <c r="E2" s="43" t="s">
        <v>323</v>
      </c>
      <c r="F2" s="43" t="s">
        <v>324</v>
      </c>
      <c r="G2" s="43" t="s">
        <v>325</v>
      </c>
      <c r="H2" s="43" t="s">
        <v>326</v>
      </c>
      <c r="I2" s="43" t="s">
        <v>327</v>
      </c>
      <c r="J2" s="43" t="s">
        <v>328</v>
      </c>
    </row>
    <row r="3" spans="1:10" x14ac:dyDescent="0.25">
      <c r="A3" s="54" t="s">
        <v>24</v>
      </c>
      <c r="B3" s="96" t="s">
        <v>25</v>
      </c>
      <c r="C3" s="97" t="s">
        <v>275</v>
      </c>
      <c r="D3" s="96" t="s">
        <v>25</v>
      </c>
      <c r="E3" s="96" t="s">
        <v>25</v>
      </c>
      <c r="F3" s="96" t="s">
        <v>25</v>
      </c>
      <c r="G3" s="96" t="s">
        <v>25</v>
      </c>
      <c r="H3" s="96" t="s">
        <v>25</v>
      </c>
      <c r="I3" s="96" t="s">
        <v>25</v>
      </c>
      <c r="J3" s="96" t="s">
        <v>25</v>
      </c>
    </row>
    <row r="4" spans="1:10" s="7" customFormat="1" ht="21.6" x14ac:dyDescent="0.25">
      <c r="A4" s="9" t="s">
        <v>3</v>
      </c>
      <c r="B4" s="98" t="s">
        <v>314</v>
      </c>
      <c r="C4" s="97" t="s">
        <v>275</v>
      </c>
      <c r="D4" s="98" t="s">
        <v>314</v>
      </c>
      <c r="E4" s="98" t="s">
        <v>314</v>
      </c>
      <c r="F4" s="98" t="s">
        <v>314</v>
      </c>
      <c r="G4" s="98" t="s">
        <v>314</v>
      </c>
      <c r="H4" s="98" t="s">
        <v>314</v>
      </c>
      <c r="I4" s="98" t="s">
        <v>314</v>
      </c>
      <c r="J4" s="98" t="s">
        <v>314</v>
      </c>
    </row>
    <row r="5" spans="1:10" s="7" customFormat="1" x14ac:dyDescent="0.25">
      <c r="A5" s="9" t="s">
        <v>29</v>
      </c>
      <c r="B5" s="99" t="s">
        <v>30</v>
      </c>
      <c r="C5" s="97" t="s">
        <v>275</v>
      </c>
      <c r="D5" s="99" t="s">
        <v>30</v>
      </c>
      <c r="E5" s="99" t="s">
        <v>30</v>
      </c>
      <c r="F5" s="99" t="s">
        <v>30</v>
      </c>
      <c r="G5" s="99" t="s">
        <v>30</v>
      </c>
      <c r="H5" s="99" t="s">
        <v>30</v>
      </c>
      <c r="I5" s="99" t="s">
        <v>30</v>
      </c>
      <c r="J5" s="99" t="s">
        <v>30</v>
      </c>
    </row>
    <row r="6" spans="1:10" x14ac:dyDescent="0.25">
      <c r="A6" s="54" t="s">
        <v>32</v>
      </c>
      <c r="B6" s="100">
        <v>382.64176418210002</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0.45313000000000003</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3.6251000000000002</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0.60961368205077138</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2.4199999999999999E-2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16.483552762599999</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0.89770000000000005</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7.6458999999999999E-2</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2.8615514994</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1.5622E-2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2.7432921169999998</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276</v>
      </c>
      <c r="B1" s="121"/>
      <c r="C1" s="121"/>
      <c r="D1" s="121"/>
      <c r="E1" s="121"/>
      <c r="F1" s="121"/>
    </row>
    <row r="2" spans="1:6" x14ac:dyDescent="0.25">
      <c r="A2" s="51" t="s">
        <v>277</v>
      </c>
      <c r="B2" s="50" t="s">
        <v>278</v>
      </c>
      <c r="C2" s="50" t="s">
        <v>279</v>
      </c>
      <c r="D2" s="50" t="s">
        <v>280</v>
      </c>
      <c r="E2" s="50" t="s">
        <v>229</v>
      </c>
      <c r="F2" s="50" t="s">
        <v>281</v>
      </c>
    </row>
    <row r="3" spans="1:6" ht="48" customHeight="1" x14ac:dyDescent="0.25">
      <c r="A3" s="103">
        <v>43469</v>
      </c>
      <c r="B3" s="52" t="s">
        <v>282</v>
      </c>
      <c r="C3" s="104" t="s">
        <v>283</v>
      </c>
      <c r="D3" s="104"/>
      <c r="E3" s="52" t="s">
        <v>232</v>
      </c>
      <c r="F3" s="104" t="s">
        <v>284</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285</v>
      </c>
      <c r="B19" s="140"/>
      <c r="C19" s="140"/>
      <c r="D19" s="140"/>
      <c r="E19" s="140"/>
      <c r="F19" s="140"/>
    </row>
    <row r="20" spans="1:6" x14ac:dyDescent="0.25">
      <c r="A20" s="83" t="s">
        <v>277</v>
      </c>
      <c r="B20" s="83" t="s">
        <v>278</v>
      </c>
      <c r="C20" s="83" t="s">
        <v>286</v>
      </c>
      <c r="D20" s="83" t="s">
        <v>287</v>
      </c>
      <c r="E20" s="83" t="s">
        <v>229</v>
      </c>
      <c r="F20" s="83" t="s">
        <v>281</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288</v>
      </c>
      <c r="B1" s="121"/>
      <c r="C1" s="121"/>
      <c r="D1" s="121"/>
      <c r="E1" s="121"/>
      <c r="F1" s="121"/>
      <c r="G1" s="121"/>
      <c r="H1" s="121"/>
      <c r="I1" s="121"/>
      <c r="J1" s="121"/>
      <c r="K1" s="121"/>
      <c r="L1" s="121"/>
      <c r="M1" s="121"/>
      <c r="N1" s="121"/>
    </row>
    <row r="2" spans="1:18" s="1" customFormat="1" ht="25.5" customHeight="1" x14ac:dyDescent="0.25">
      <c r="A2" s="55" t="s">
        <v>289</v>
      </c>
      <c r="B2" s="55" t="s">
        <v>290</v>
      </c>
      <c r="C2" s="55" t="s">
        <v>291</v>
      </c>
      <c r="D2" s="55" t="s">
        <v>292</v>
      </c>
      <c r="E2" s="55" t="s">
        <v>293</v>
      </c>
      <c r="F2" s="55" t="s">
        <v>294</v>
      </c>
      <c r="G2" s="55" t="s">
        <v>295</v>
      </c>
      <c r="H2" s="55" t="s">
        <v>16</v>
      </c>
      <c r="I2" s="55" t="s">
        <v>296</v>
      </c>
      <c r="J2" s="55" t="s">
        <v>297</v>
      </c>
      <c r="K2" s="55" t="s">
        <v>298</v>
      </c>
      <c r="L2" s="55" t="s">
        <v>299</v>
      </c>
      <c r="M2" s="55" t="s">
        <v>19</v>
      </c>
      <c r="N2" s="55" t="s">
        <v>300</v>
      </c>
      <c r="O2" s="3"/>
      <c r="P2" s="107" t="str">
        <f ca="1">Q2</f>
        <v>2019-04-11</v>
      </c>
      <c r="Q2" s="1" t="str">
        <f ca="1">[1]!td(R2-1)</f>
        <v>2019-04-11</v>
      </c>
      <c r="R2" s="3">
        <f ca="1">TODAY()</f>
        <v>43567</v>
      </c>
    </row>
    <row r="3" spans="1:18" ht="15.75" customHeight="1" x14ac:dyDescent="0.25">
      <c r="A3" s="108" t="str">
        <f>[1]!b_info_name(L3)</f>
        <v>19扬州经开MTN002</v>
      </c>
      <c r="B3" s="2" t="str">
        <f>[1]!b_issue_firstissue(L3)</f>
        <v>2019-04-15</v>
      </c>
      <c r="C3" s="108">
        <f>[1]!b_info_term(L3)</f>
        <v>3</v>
      </c>
      <c r="D3" s="109" t="str">
        <f>[1]!issuerrating(L3)</f>
        <v>AA+</v>
      </c>
      <c r="E3" s="109" t="str">
        <f>[1]!b_info_creditrating(L3)</f>
        <v>AA+</v>
      </c>
      <c r="F3" s="108" t="str">
        <f>[1]!b_rate_creditratingagency(L3)</f>
        <v>中诚信国际信用评级有限责任公司</v>
      </c>
      <c r="G3" s="110">
        <f>[1]!b_agency_guarantor(L3)</f>
        <v>0</v>
      </c>
      <c r="H3" s="111" t="s">
        <v>301</v>
      </c>
      <c r="I3" s="65"/>
      <c r="J3" s="112" t="s">
        <v>301</v>
      </c>
      <c r="K3" s="113"/>
      <c r="L3" s="41" t="str">
        <f>公式页!A2</f>
        <v>q19041101.IB</v>
      </c>
      <c r="M3" s="111" t="s">
        <v>301</v>
      </c>
      <c r="N3" s="108" t="str">
        <f>[1]!b_agency_leadunderwriter(L3)</f>
        <v>平安银行股份有限公司</v>
      </c>
      <c r="P3" s="106" t="str">
        <f t="shared" ref="P3:P29" ca="1" si="0">$P$2</f>
        <v>2019-04-11</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3.6621999999999999</v>
      </c>
      <c r="K4" s="113">
        <f>K3</f>
        <v>0</v>
      </c>
      <c r="L4" s="4" t="s">
        <v>302</v>
      </c>
      <c r="M4" s="111">
        <f>[1]!b_info_issueamount(L4)/100000000</f>
        <v>5</v>
      </c>
      <c r="N4" s="108" t="str">
        <f>[1]!b_agency_leadunderwriter(L4)</f>
        <v>上海浦东发展银行股份有限公司,中国国际金融股份有限公司</v>
      </c>
      <c r="P4" s="106" t="str">
        <f t="shared" ca="1" si="0"/>
        <v>2019-04-11</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2019-04-11</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2019-04-11</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2019-04-11</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2019-04-11</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2019-04-11</v>
      </c>
    </row>
    <row r="10" spans="1:18" x14ac:dyDescent="0.25">
      <c r="P10" s="106" t="str">
        <f t="shared" ca="1" si="0"/>
        <v>2019-04-11</v>
      </c>
    </row>
    <row r="11" spans="1:18" x14ac:dyDescent="0.25">
      <c r="P11" s="106" t="str">
        <f t="shared" ca="1" si="0"/>
        <v>2019-04-11</v>
      </c>
    </row>
    <row r="12" spans="1:18" x14ac:dyDescent="0.25">
      <c r="A12" s="147" t="s">
        <v>303</v>
      </c>
      <c r="B12" s="121"/>
      <c r="C12" s="121"/>
      <c r="D12" s="121"/>
      <c r="E12" s="121"/>
      <c r="F12" s="121"/>
      <c r="G12" s="121"/>
      <c r="H12" s="121"/>
      <c r="I12" s="121"/>
      <c r="J12" s="121"/>
      <c r="K12" s="121"/>
      <c r="L12" s="121"/>
      <c r="M12" s="121"/>
      <c r="N12" s="121"/>
      <c r="P12" s="106" t="str">
        <f t="shared" ca="1" si="0"/>
        <v>2019-04-11</v>
      </c>
    </row>
    <row r="13" spans="1:18" s="1" customFormat="1" ht="43.2" customHeight="1" x14ac:dyDescent="0.25">
      <c r="A13" s="55" t="s">
        <v>289</v>
      </c>
      <c r="B13" s="55" t="s">
        <v>290</v>
      </c>
      <c r="C13" s="55" t="s">
        <v>291</v>
      </c>
      <c r="D13" s="55" t="s">
        <v>292</v>
      </c>
      <c r="E13" s="55" t="s">
        <v>293</v>
      </c>
      <c r="F13" s="55" t="s">
        <v>294</v>
      </c>
      <c r="G13" s="55" t="s">
        <v>295</v>
      </c>
      <c r="H13" s="55" t="s">
        <v>16</v>
      </c>
      <c r="I13" s="55" t="s">
        <v>296</v>
      </c>
      <c r="J13" s="55" t="s">
        <v>297</v>
      </c>
      <c r="K13" s="55" t="s">
        <v>298</v>
      </c>
      <c r="L13" s="55" t="s">
        <v>299</v>
      </c>
      <c r="M13" s="55" t="s">
        <v>19</v>
      </c>
      <c r="N13" s="55" t="s">
        <v>300</v>
      </c>
      <c r="P13" s="106" t="str">
        <f t="shared" ca="1" si="0"/>
        <v>2019-04-11</v>
      </c>
    </row>
    <row r="14" spans="1:18" ht="15.75" customHeight="1" x14ac:dyDescent="0.25">
      <c r="A14" s="108" t="str">
        <f>[1]!b_info_name(L14)</f>
        <v>19扬州经开MTN002</v>
      </c>
      <c r="B14" s="2" t="str">
        <f>[1]!b_issue_firstissue(L14)</f>
        <v>2019-04-15</v>
      </c>
      <c r="C14" s="108">
        <f>[1]!b_info_term(L14)</f>
        <v>3</v>
      </c>
      <c r="D14" s="109" t="str">
        <f>[1]!issuerrating(L14)</f>
        <v>AA+</v>
      </c>
      <c r="E14" s="109" t="str">
        <f>[1]!b_info_creditrating(L14)</f>
        <v>AA+</v>
      </c>
      <c r="F14" s="108" t="str">
        <f>[1]!b_rate_creditratingagency(L14)</f>
        <v>中诚信国际信用评级有限责任公司</v>
      </c>
      <c r="G14" s="110">
        <f>[1]!b_agency_guarantor(L14)</f>
        <v>0</v>
      </c>
      <c r="H14" s="111" t="s">
        <v>301</v>
      </c>
      <c r="I14" s="65"/>
      <c r="J14" s="112" t="s">
        <v>301</v>
      </c>
      <c r="K14" s="113">
        <f>K3</f>
        <v>0</v>
      </c>
      <c r="L14" s="42" t="str">
        <f>L3</f>
        <v>q19041101.IB</v>
      </c>
      <c r="M14" s="111" t="s">
        <v>301</v>
      </c>
      <c r="N14" s="108" t="str">
        <f>[1]!b_agency_leadunderwriter(L14)</f>
        <v>平安银行股份有限公司</v>
      </c>
      <c r="P14" s="106" t="str">
        <f t="shared" ca="1" si="0"/>
        <v>2019-04-11</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304</v>
      </c>
      <c r="M15" s="111">
        <f>[1]!b_info_issueamount(L15)/100000000</f>
        <v>5</v>
      </c>
      <c r="N15" s="108" t="str">
        <f>[1]!b_agency_leadunderwriter(L15)</f>
        <v>招商银行股份有限公司</v>
      </c>
      <c r="O15" t="str">
        <f>[1]!b_issuer_windindustry(L15,4)</f>
        <v>西药</v>
      </c>
      <c r="P15" s="106" t="str">
        <f t="shared" ca="1" si="0"/>
        <v>2019-04-11</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305</v>
      </c>
      <c r="M16" s="111">
        <f>[1]!b_info_issueamount(L16)/100000000</f>
        <v>6</v>
      </c>
      <c r="N16" s="108" t="str">
        <f>[1]!b_agency_leadunderwriter(L16)</f>
        <v>北京银行股份有限公司</v>
      </c>
      <c r="O16" t="str">
        <f>[1]!b_issuer_windindustry(L16,4)</f>
        <v>化肥与农用化工</v>
      </c>
      <c r="P16" s="106" t="str">
        <f t="shared" ca="1" si="0"/>
        <v>2019-04-11</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306</v>
      </c>
      <c r="M17" s="111">
        <f>[1]!b_info_issueamount(L17)/100000000</f>
        <v>3.5</v>
      </c>
      <c r="N17" s="108" t="str">
        <f>[1]!b_agency_leadunderwriter(L17)</f>
        <v>华夏银行股份有限公司</v>
      </c>
      <c r="O17" t="str">
        <f>[1]!b_issuer_windindustry(L17,4)</f>
        <v>食品加工与肉类</v>
      </c>
      <c r="P17" s="106" t="str">
        <f t="shared" ca="1" si="0"/>
        <v>2019-04-11</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307</v>
      </c>
      <c r="M18" s="111">
        <f>[1]!b_info_issueamount(L18)/100000000</f>
        <v>3</v>
      </c>
      <c r="N18" s="108" t="str">
        <f>[1]!b_agency_leadunderwriter(L18)</f>
        <v>兴业银行股份有限公司</v>
      </c>
      <c r="O18" t="str">
        <f>[1]!b_issuer_windindustry(L18,4)</f>
        <v>工业机械</v>
      </c>
      <c r="P18" s="106" t="str">
        <f t="shared" ca="1" si="0"/>
        <v>2019-04-11</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308</v>
      </c>
      <c r="M19" s="111">
        <f>[1]!b_info_issueamount(L19)/100000000</f>
        <v>3</v>
      </c>
      <c r="N19" s="108" t="str">
        <f>[1]!b_agency_leadunderwriter(L19)</f>
        <v>中国银行股份有限公司</v>
      </c>
      <c r="O19" t="str">
        <f>[1]!b_issuer_windindustry(L19,4)</f>
        <v>半导体产品</v>
      </c>
      <c r="P19" s="106" t="str">
        <f t="shared" ca="1" si="0"/>
        <v>2019-04-11</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309</v>
      </c>
      <c r="M20" s="111">
        <f>[1]!b_info_issueamount(L20)/100000000</f>
        <v>5</v>
      </c>
      <c r="N20" s="108" t="str">
        <f>[1]!b_agency_leadunderwriter(L20)</f>
        <v>中国银行股份有限公司</v>
      </c>
      <c r="O20" t="str">
        <f>[1]!b_issuer_windindustry(L20,4)</f>
        <v>医疗保健用品</v>
      </c>
      <c r="P20" s="106" t="str">
        <f t="shared" ca="1" si="0"/>
        <v>2019-04-11</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310</v>
      </c>
      <c r="M21" s="111">
        <f>[1]!b_info_issueamount(L21)/100000000</f>
        <v>2</v>
      </c>
      <c r="N21" s="108" t="str">
        <f>[1]!b_agency_leadunderwriter(L21)</f>
        <v>中国银行股份有限公司</v>
      </c>
      <c r="O21" t="str">
        <f>[1]!b_issuer_windindustry(L21,4)</f>
        <v>食品加工与肉类</v>
      </c>
      <c r="P21" s="106" t="str">
        <f t="shared" ca="1" si="0"/>
        <v>2019-04-11</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311</v>
      </c>
      <c r="M22" s="111">
        <f>[1]!b_info_issueamount(L22)/100000000</f>
        <v>4</v>
      </c>
      <c r="N22" s="108" t="str">
        <f>[1]!b_agency_leadunderwriter(L22)</f>
        <v>中国工商银行股份有限公司</v>
      </c>
      <c r="O22" t="str">
        <f>[1]!b_issuer_windindustry(L22,4)</f>
        <v>酒店、度假村与豪华游轮</v>
      </c>
      <c r="P22" s="106" t="str">
        <f t="shared" ca="1" si="0"/>
        <v>2019-04-11</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312</v>
      </c>
      <c r="M23" s="111">
        <f>[1]!b_info_issueamount(L23)/100000000</f>
        <v>4</v>
      </c>
      <c r="N23" s="108" t="str">
        <f>[1]!b_agency_leadunderwriter(L23)</f>
        <v>中国银行股份有限公司</v>
      </c>
      <c r="O23" t="str">
        <f>[1]!b_issuer_windindustry(L23,4)</f>
        <v>金属非金属</v>
      </c>
      <c r="P23" s="106" t="str">
        <f t="shared" ca="1" si="0"/>
        <v>2019-04-11</v>
      </c>
    </row>
    <row r="24" spans="1:16" x14ac:dyDescent="0.25">
      <c r="P24" s="106" t="str">
        <f t="shared" ca="1" si="0"/>
        <v>2019-04-11</v>
      </c>
    </row>
    <row r="25" spans="1:16" x14ac:dyDescent="0.25">
      <c r="P25" s="106" t="str">
        <f t="shared" ca="1" si="0"/>
        <v>2019-04-11</v>
      </c>
    </row>
    <row r="26" spans="1:16" x14ac:dyDescent="0.25">
      <c r="P26" s="106" t="str">
        <f t="shared" ca="1" si="0"/>
        <v>2019-04-11</v>
      </c>
    </row>
    <row r="27" spans="1:16" x14ac:dyDescent="0.25">
      <c r="P27" s="106" t="str">
        <f t="shared" ca="1" si="0"/>
        <v>2019-04-11</v>
      </c>
    </row>
    <row r="28" spans="1:16" x14ac:dyDescent="0.25">
      <c r="P28" s="106" t="str">
        <f t="shared" ca="1" si="0"/>
        <v>2019-04-11</v>
      </c>
    </row>
    <row r="29" spans="1:16" x14ac:dyDescent="0.25">
      <c r="P29" s="106"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2019-04-12T08:24:52Z</dcterms:modified>
</cp:coreProperties>
</file>