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5D0D3BD6-06AB-4E1E-B6E4-EA9C03305D7C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M21" i="6"/>
  <c r="G20" i="6"/>
  <c r="D19" i="6"/>
  <c r="A18" i="6"/>
  <c r="N16" i="6"/>
  <c r="H15" i="6"/>
  <c r="B15" i="6"/>
  <c r="C14" i="6"/>
  <c r="D9" i="6"/>
  <c r="M8" i="6"/>
  <c r="F8" i="6"/>
  <c r="A8" i="6"/>
  <c r="H7" i="6"/>
  <c r="C7" i="6"/>
  <c r="M6" i="6"/>
  <c r="G6" i="6"/>
  <c r="A6" i="6"/>
  <c r="D5" i="6"/>
  <c r="M4" i="6"/>
  <c r="F4" i="6"/>
  <c r="A4" i="6"/>
  <c r="E3" i="6"/>
  <c r="S140" i="1"/>
  <c r="S138" i="1"/>
  <c r="S136" i="1"/>
  <c r="M135" i="1"/>
  <c r="S133" i="1"/>
  <c r="O132" i="1"/>
  <c r="M131" i="1"/>
  <c r="O130" i="1"/>
  <c r="S129" i="1"/>
  <c r="M127" i="1"/>
  <c r="O23" i="6"/>
  <c r="F21" i="6"/>
  <c r="C20" i="6"/>
  <c r="M17" i="6"/>
  <c r="G16" i="6"/>
  <c r="O15" i="6"/>
  <c r="F15" i="6"/>
  <c r="A15" i="6"/>
  <c r="G14" i="6"/>
  <c r="A14" i="6"/>
  <c r="H9" i="6"/>
  <c r="B9" i="6"/>
  <c r="E8" i="6"/>
  <c r="N7" i="6"/>
  <c r="G7" i="6"/>
  <c r="B7" i="6"/>
  <c r="E6" i="6"/>
  <c r="H5" i="6"/>
  <c r="B5" i="6"/>
  <c r="E4" i="6"/>
  <c r="N3" i="6"/>
  <c r="D3" i="6"/>
  <c r="M140" i="1"/>
  <c r="M138" i="1"/>
  <c r="M136" i="1"/>
  <c r="S134" i="1"/>
  <c r="O133" i="1"/>
  <c r="M132" i="1"/>
  <c r="M130" i="1"/>
  <c r="O129" i="1"/>
  <c r="S128" i="1"/>
  <c r="H23" i="6"/>
  <c r="E22" i="6"/>
  <c r="B21" i="6"/>
  <c r="O19" i="6"/>
  <c r="F17" i="6"/>
  <c r="C16" i="6"/>
  <c r="M15" i="6"/>
  <c r="E15" i="6"/>
  <c r="E14" i="6"/>
  <c r="N9" i="6"/>
  <c r="F9" i="6"/>
  <c r="A9" i="6"/>
  <c r="C8" i="6"/>
  <c r="M7" i="6"/>
  <c r="F7" i="6"/>
  <c r="D6" i="6"/>
  <c r="N5" i="6"/>
  <c r="F5" i="6"/>
  <c r="A5" i="6"/>
  <c r="C4" i="6"/>
  <c r="C3" i="6"/>
  <c r="S141" i="1"/>
  <c r="S139" i="1"/>
  <c r="S137" i="1"/>
  <c r="S135" i="1"/>
  <c r="O134" i="1"/>
  <c r="M133" i="1"/>
  <c r="S131" i="1"/>
  <c r="M129" i="1"/>
  <c r="O128" i="1"/>
  <c r="S127" i="1"/>
  <c r="M121" i="1"/>
  <c r="D23" i="6"/>
  <c r="E18" i="6"/>
  <c r="D15" i="6"/>
  <c r="D7" i="6"/>
  <c r="C6" i="6"/>
  <c r="G3" i="6"/>
  <c r="M141" i="1"/>
  <c r="M134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G65" i="1"/>
  <c r="E64" i="1"/>
  <c r="G63" i="1"/>
  <c r="C63" i="1"/>
  <c r="G61" i="1"/>
  <c r="C61" i="1"/>
  <c r="G59" i="1"/>
  <c r="E58" i="1"/>
  <c r="C57" i="1"/>
  <c r="G55" i="1"/>
  <c r="C55" i="1"/>
  <c r="G53" i="1"/>
  <c r="E52" i="1"/>
  <c r="C51" i="1"/>
  <c r="G49" i="1"/>
  <c r="C49" i="1"/>
  <c r="G47" i="1"/>
  <c r="E46" i="1"/>
  <c r="C45" i="1"/>
  <c r="G43" i="1"/>
  <c r="C43" i="1"/>
  <c r="G41" i="1"/>
  <c r="E40" i="1"/>
  <c r="C39" i="1"/>
  <c r="E38" i="1"/>
  <c r="C37" i="1"/>
  <c r="G35" i="1"/>
  <c r="C35" i="1"/>
  <c r="G33" i="1"/>
  <c r="E32" i="1"/>
  <c r="C31" i="1"/>
  <c r="E30" i="1"/>
  <c r="A22" i="6"/>
  <c r="B17" i="6"/>
  <c r="G8" i="6"/>
  <c r="N6" i="6"/>
  <c r="G4" i="6"/>
  <c r="A3" i="6"/>
  <c r="M139" i="1"/>
  <c r="S132" i="1"/>
  <c r="M120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C65" i="1"/>
  <c r="E62" i="1"/>
  <c r="E60" i="1"/>
  <c r="C59" i="1"/>
  <c r="G57" i="1"/>
  <c r="E56" i="1"/>
  <c r="E54" i="1"/>
  <c r="C53" i="1"/>
  <c r="G51" i="1"/>
  <c r="E50" i="1"/>
  <c r="E48" i="1"/>
  <c r="C47" i="1"/>
  <c r="G45" i="1"/>
  <c r="E44" i="1"/>
  <c r="E42" i="1"/>
  <c r="C41" i="1"/>
  <c r="G39" i="1"/>
  <c r="G37" i="1"/>
  <c r="E36" i="1"/>
  <c r="E34" i="1"/>
  <c r="C33" i="1"/>
  <c r="G31" i="1"/>
  <c r="R29" i="1"/>
  <c r="N20" i="6"/>
  <c r="A16" i="6"/>
  <c r="E9" i="6"/>
  <c r="B8" i="6"/>
  <c r="E5" i="6"/>
  <c r="B4" i="6"/>
  <c r="Q2" i="6"/>
  <c r="M137" i="1"/>
  <c r="O131" i="1"/>
  <c r="M128" i="1"/>
  <c r="M123" i="1"/>
  <c r="M118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H19" i="6"/>
  <c r="D14" i="6"/>
  <c r="S130" i="1"/>
  <c r="F111" i="1"/>
  <c r="D102" i="1"/>
  <c r="B101" i="1"/>
  <c r="Q99" i="1"/>
  <c r="O98" i="1"/>
  <c r="M97" i="1"/>
  <c r="J96" i="1"/>
  <c r="D94" i="1"/>
  <c r="F91" i="1"/>
  <c r="B89" i="1"/>
  <c r="D86" i="1"/>
  <c r="F83" i="1"/>
  <c r="B81" i="1"/>
  <c r="D78" i="1"/>
  <c r="F75" i="1"/>
  <c r="B73" i="1"/>
  <c r="D70" i="1"/>
  <c r="F67" i="1"/>
  <c r="B65" i="1"/>
  <c r="D62" i="1"/>
  <c r="F59" i="1"/>
  <c r="B57" i="1"/>
  <c r="D54" i="1"/>
  <c r="F51" i="1"/>
  <c r="B49" i="1"/>
  <c r="D46" i="1"/>
  <c r="F43" i="1"/>
  <c r="B41" i="1"/>
  <c r="D38" i="1"/>
  <c r="F35" i="1"/>
  <c r="B33" i="1"/>
  <c r="D30" i="1"/>
  <c r="G29" i="1"/>
  <c r="P28" i="1"/>
  <c r="E28" i="1"/>
  <c r="N27" i="1"/>
  <c r="C27" i="1"/>
  <c r="L26" i="1"/>
  <c r="R25" i="1"/>
  <c r="G25" i="1"/>
  <c r="P24" i="1"/>
  <c r="E24" i="1"/>
  <c r="N23" i="1"/>
  <c r="C23" i="1"/>
  <c r="R21" i="1"/>
  <c r="G21" i="1"/>
  <c r="P20" i="1"/>
  <c r="E20" i="1"/>
  <c r="N19" i="1"/>
  <c r="C19" i="1"/>
  <c r="R17" i="1"/>
  <c r="G17" i="1"/>
  <c r="F16" i="1"/>
  <c r="O15" i="1"/>
  <c r="D15" i="1"/>
  <c r="B14" i="1"/>
  <c r="B8" i="1"/>
  <c r="J15" i="1"/>
  <c r="J103" i="1"/>
  <c r="B99" i="1"/>
  <c r="O96" i="1"/>
  <c r="F89" i="1"/>
  <c r="D84" i="1"/>
  <c r="B79" i="1"/>
  <c r="F73" i="1"/>
  <c r="D68" i="1"/>
  <c r="D60" i="1"/>
  <c r="B55" i="1"/>
  <c r="B47" i="1"/>
  <c r="F41" i="1"/>
  <c r="F33" i="1"/>
  <c r="B29" i="1"/>
  <c r="Q27" i="1"/>
  <c r="O26" i="1"/>
  <c r="M25" i="1"/>
  <c r="Q23" i="1"/>
  <c r="D22" i="1"/>
  <c r="M21" i="1"/>
  <c r="B21" i="1"/>
  <c r="J20" i="1"/>
  <c r="Q19" i="1"/>
  <c r="F19" i="1"/>
  <c r="M17" i="1"/>
  <c r="B17" i="1"/>
  <c r="R15" i="1"/>
  <c r="E14" i="1"/>
  <c r="F9" i="1"/>
  <c r="B5" i="1"/>
  <c r="O127" i="1"/>
  <c r="M110" i="1"/>
  <c r="Q101" i="1"/>
  <c r="O100" i="1"/>
  <c r="M99" i="1"/>
  <c r="J98" i="1"/>
  <c r="F97" i="1"/>
  <c r="D96" i="1"/>
  <c r="F93" i="1"/>
  <c r="B91" i="1"/>
  <c r="D88" i="1"/>
  <c r="F85" i="1"/>
  <c r="B83" i="1"/>
  <c r="D80" i="1"/>
  <c r="F77" i="1"/>
  <c r="B75" i="1"/>
  <c r="D72" i="1"/>
  <c r="F69" i="1"/>
  <c r="B67" i="1"/>
  <c r="D64" i="1"/>
  <c r="F61" i="1"/>
  <c r="B59" i="1"/>
  <c r="D56" i="1"/>
  <c r="F53" i="1"/>
  <c r="B51" i="1"/>
  <c r="D48" i="1"/>
  <c r="F45" i="1"/>
  <c r="B43" i="1"/>
  <c r="D40" i="1"/>
  <c r="F37" i="1"/>
  <c r="B35" i="1"/>
  <c r="D32" i="1"/>
  <c r="Q29" i="1"/>
  <c r="F29" i="1"/>
  <c r="O28" i="1"/>
  <c r="D28" i="1"/>
  <c r="M27" i="1"/>
  <c r="B27" i="1"/>
  <c r="J26" i="1"/>
  <c r="Q25" i="1"/>
  <c r="F25" i="1"/>
  <c r="O24" i="1"/>
  <c r="D24" i="1"/>
  <c r="M23" i="1"/>
  <c r="B23" i="1"/>
  <c r="Q21" i="1"/>
  <c r="F21" i="1"/>
  <c r="O20" i="1"/>
  <c r="D20" i="1"/>
  <c r="M19" i="1"/>
  <c r="B19" i="1"/>
  <c r="Q17" i="1"/>
  <c r="F17" i="1"/>
  <c r="E16" i="1"/>
  <c r="N15" i="1"/>
  <c r="C15" i="1"/>
  <c r="F11" i="1"/>
  <c r="F7" i="1"/>
  <c r="H6" i="6"/>
  <c r="S112" i="1"/>
  <c r="O103" i="1"/>
  <c r="M101" i="1"/>
  <c r="J100" i="1"/>
  <c r="F99" i="1"/>
  <c r="D98" i="1"/>
  <c r="B97" i="1"/>
  <c r="F95" i="1"/>
  <c r="B93" i="1"/>
  <c r="D90" i="1"/>
  <c r="B85" i="1"/>
  <c r="D82" i="1"/>
  <c r="F79" i="1"/>
  <c r="B77" i="1"/>
  <c r="D74" i="1"/>
  <c r="F71" i="1"/>
  <c r="B69" i="1"/>
  <c r="D66" i="1"/>
  <c r="F63" i="1"/>
  <c r="B61" i="1"/>
  <c r="F55" i="1"/>
  <c r="B53" i="1"/>
  <c r="D50" i="1"/>
  <c r="B45" i="1"/>
  <c r="F39" i="1"/>
  <c r="B37" i="1"/>
  <c r="F31" i="1"/>
  <c r="C29" i="1"/>
  <c r="L28" i="1"/>
  <c r="G27" i="1"/>
  <c r="E26" i="1"/>
  <c r="C25" i="1"/>
  <c r="R23" i="1"/>
  <c r="E22" i="1"/>
  <c r="C21" i="1"/>
  <c r="R19" i="1"/>
  <c r="E18" i="1"/>
  <c r="C17" i="1"/>
  <c r="B10" i="1"/>
  <c r="O135" i="1"/>
  <c r="M119" i="1"/>
  <c r="F109" i="1"/>
  <c r="F101" i="1"/>
  <c r="D100" i="1"/>
  <c r="Q97" i="1"/>
  <c r="B95" i="1"/>
  <c r="D92" i="1"/>
  <c r="B87" i="1"/>
  <c r="F81" i="1"/>
  <c r="D76" i="1"/>
  <c r="B71" i="1"/>
  <c r="F65" i="1"/>
  <c r="B63" i="1"/>
  <c r="F57" i="1"/>
  <c r="D52" i="1"/>
  <c r="F49" i="1"/>
  <c r="D44" i="1"/>
  <c r="B39" i="1"/>
  <c r="D36" i="1"/>
  <c r="B31" i="1"/>
  <c r="M29" i="1"/>
  <c r="J28" i="1"/>
  <c r="F27" i="1"/>
  <c r="D26" i="1"/>
  <c r="B25" i="1"/>
  <c r="J24" i="1"/>
  <c r="F23" i="1"/>
  <c r="F87" i="1"/>
  <c r="D58" i="1"/>
  <c r="F47" i="1"/>
  <c r="D42" i="1"/>
  <c r="D34" i="1"/>
  <c r="N29" i="1"/>
  <c r="R27" i="1"/>
  <c r="P26" i="1"/>
  <c r="N25" i="1"/>
  <c r="L24" i="1"/>
  <c r="G23" i="1"/>
  <c r="N21" i="1"/>
  <c r="L20" i="1"/>
  <c r="G19" i="1"/>
  <c r="N17" i="1"/>
  <c r="B16" i="1"/>
  <c r="F14" i="1"/>
  <c r="E5" i="1"/>
  <c r="D18" i="1"/>
  <c r="G15" i="1"/>
  <c r="D125" i="1" l="1"/>
  <c r="H112" i="1"/>
  <c r="B110" i="1"/>
  <c r="D117" i="1"/>
  <c r="O22" i="1"/>
  <c r="J22" i="1"/>
  <c r="H120" i="1"/>
  <c r="L22" i="1"/>
  <c r="P22" i="1"/>
  <c r="H110" i="1"/>
  <c r="B118" i="1"/>
  <c r="D121" i="1"/>
  <c r="B127" i="1"/>
  <c r="P2" i="6"/>
  <c r="M22" i="1"/>
  <c r="Q22" i="1"/>
  <c r="B109" i="1"/>
  <c r="B111" i="1"/>
  <c r="B112" i="1"/>
  <c r="H122" i="1"/>
  <c r="B129" i="1"/>
  <c r="N22" i="1"/>
  <c r="R22" i="1"/>
  <c r="H109" i="1"/>
  <c r="H111" i="1"/>
  <c r="B124" i="1"/>
  <c r="B131" i="1"/>
  <c r="H117" i="1"/>
  <c r="D118" i="1"/>
  <c r="B119" i="1"/>
  <c r="H121" i="1"/>
  <c r="B123" i="1"/>
  <c r="D124" i="1"/>
  <c r="H125" i="1"/>
  <c r="H127" i="1"/>
  <c r="H129" i="1"/>
  <c r="H131" i="1"/>
  <c r="H118" i="1"/>
  <c r="D119" i="1"/>
  <c r="B120" i="1"/>
  <c r="B122" i="1"/>
  <c r="D123" i="1"/>
  <c r="H124" i="1"/>
  <c r="B126" i="1"/>
  <c r="B128" i="1"/>
  <c r="B130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4" i="6"/>
  <c r="P20" i="6"/>
  <c r="P16" i="6"/>
  <c r="P27" i="6"/>
  <c r="P23" i="6"/>
  <c r="P19" i="6"/>
  <c r="P26" i="6"/>
  <c r="P22" i="6"/>
  <c r="P15" i="6"/>
  <c r="P10" i="6"/>
  <c r="P18" i="6"/>
  <c r="P9" i="6"/>
  <c r="P5" i="6"/>
  <c r="P14" i="6"/>
  <c r="P13" i="6"/>
  <c r="P6" i="6"/>
  <c r="P12" i="6"/>
  <c r="P4" i="6"/>
  <c r="P8" i="6"/>
  <c r="J17" i="6"/>
  <c r="J7" i="6"/>
  <c r="J9" i="6"/>
  <c r="J22" i="6"/>
  <c r="J21" i="6"/>
  <c r="J16" i="6"/>
  <c r="J6" i="6"/>
  <c r="J19" i="6"/>
  <c r="J8" i="6"/>
  <c r="J23" i="6"/>
  <c r="J5" i="6"/>
  <c r="J18" i="6"/>
  <c r="J20" i="6"/>
  <c r="J15" i="6"/>
</calcChain>
</file>

<file path=xl/sharedStrings.xml><?xml version="1.0" encoding="utf-8"?>
<sst xmlns="http://schemas.openxmlformats.org/spreadsheetml/2006/main" count="558" uniqueCount="264">
  <si>
    <t>d19041217.IB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</si>
  <si>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</si>
  <si>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</si>
  <si>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</si>
  <si>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</si>
  <si>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</si>
  <si>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</si>
  <si>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</si>
  <si>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</si>
  <si>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</si>
  <si>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</si>
  <si>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</si>
  <si>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</si>
  <si>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</si>
  <si>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</si>
  <si>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</si>
  <si>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</si>
  <si>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</si>
  <si>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</si>
  <si>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</si>
  <si>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</si>
  <si>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</si>
  <si>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</si>
  <si>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1382052.IB</t>
  </si>
  <si>
    <t>主体级别</t>
  </si>
  <si>
    <t>AA+</t>
  </si>
  <si>
    <t>1282368.IB</t>
  </si>
  <si>
    <t>*选择性黏贴</t>
  </si>
  <si>
    <t>1282415.IB</t>
  </si>
  <si>
    <t>数据年度</t>
  </si>
  <si>
    <t>2017年</t>
  </si>
  <si>
    <t>101459006.IB</t>
  </si>
  <si>
    <t>总资产</t>
  </si>
  <si>
    <t>068039.IB</t>
  </si>
  <si>
    <t>负债率</t>
  </si>
  <si>
    <t>078059.IB</t>
  </si>
  <si>
    <t>流动比率</t>
  </si>
  <si>
    <t>122559.SH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</si>
  <si>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</si>
  <si>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</si>
  <si>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</si>
  <si>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</si>
  <si>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</si>
  <si>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</si>
  <si>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</si>
  <si>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</si>
  <si>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</si>
  <si>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</si>
  <si>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</si>
  <si>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</si>
  <si>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</si>
  <si>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</si>
  <si>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</si>
  <si>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</si>
  <si>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</si>
  <si>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</si>
  <si>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</si>
  <si>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</si>
  <si>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</si>
  <si>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</si>
  <si>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</si>
  <si>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</si>
  <si>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</si>
  <si>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</si>
  <si>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</si>
  <si>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</si>
  <si>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</si>
  <si>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</si>
  <si>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</si>
  <si>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</si>
  <si>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</si>
  <si>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</si>
  <si>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</si>
  <si>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</si>
  <si>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</si>
  <si>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</si>
  <si>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</si>
  <si>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</si>
  <si>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</si>
  <si>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</si>
  <si>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</si>
  <si>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</si>
  <si>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</si>
  <si>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</si>
  <si>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</si>
  <si>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</si>
  <si>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</si>
  <si>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</si>
  <si>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</si>
  <si>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</si>
  <si>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</si>
  <si>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</si>
  <si>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</si>
  <si>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</si>
  <si>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</si>
  <si>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</si>
  <si>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</si>
  <si>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</si>
  <si>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</si>
  <si>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</si>
  <si>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</si>
  <si>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</si>
  <si>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</si>
  <si>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</si>
  <si>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</si>
  <si>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</si>
  <si>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</si>
  <si>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</si>
  <si>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</si>
  <si>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</si>
  <si>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</si>
  <si>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</si>
  <si>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</si>
  <si>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</si>
  <si>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</si>
  <si>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</si>
  <si>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</si>
  <si>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</si>
  <si>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</si>
  <si>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</si>
  <si>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</si>
  <si>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101900523.IB</t>
  </si>
  <si>
    <t>20190410</t>
  </si>
  <si>
    <t>19晋交投MTN001</t>
  </si>
  <si>
    <t>011900629.IB</t>
  </si>
  <si>
    <t>20190314</t>
  </si>
  <si>
    <t>19晋交投SCP001</t>
  </si>
  <si>
    <t>011802169.IB</t>
  </si>
  <si>
    <t>20181109</t>
  </si>
  <si>
    <t>18晋交投SCP006</t>
  </si>
  <si>
    <t>011802023.IB</t>
  </si>
  <si>
    <t>20181023</t>
  </si>
  <si>
    <t>18晋交投SCP005</t>
  </si>
  <si>
    <t>011801956.IB</t>
  </si>
  <si>
    <t>20181016</t>
  </si>
  <si>
    <t>18晋交投SCP004</t>
  </si>
  <si>
    <t>011801620.IB</t>
  </si>
  <si>
    <t>20180821</t>
  </si>
  <si>
    <t>18晋交投SCP003</t>
  </si>
  <si>
    <t>011800440.IB</t>
  </si>
  <si>
    <t>20180314</t>
  </si>
  <si>
    <t>18晋交投SCP002</t>
  </si>
  <si>
    <t>011800187.IB</t>
  </si>
  <si>
    <t>20180201</t>
  </si>
  <si>
    <t>18晋交投SCP001</t>
  </si>
  <si>
    <t>011697050.IB</t>
  </si>
  <si>
    <t>20161226</t>
  </si>
  <si>
    <t>16晋交投SCP004</t>
  </si>
  <si>
    <t>011698967.IB</t>
  </si>
  <si>
    <t>20161208</t>
  </si>
  <si>
    <t>16晋交投SCP003</t>
  </si>
  <si>
    <t>011699604.IB</t>
  </si>
  <si>
    <t>20160413</t>
  </si>
  <si>
    <t>16晋交投SCP002</t>
  </si>
  <si>
    <t>011699550.IB</t>
  </si>
  <si>
    <t>20160405</t>
  </si>
  <si>
    <t>16晋交投SCP001</t>
  </si>
  <si>
    <t>031563025.IB</t>
  </si>
  <si>
    <t>20150416</t>
  </si>
  <si>
    <t>15山西交投PPN001</t>
  </si>
  <si>
    <t>041459029.IB</t>
  </si>
  <si>
    <t>20140425</t>
  </si>
  <si>
    <t>14晋交投CP001</t>
  </si>
  <si>
    <t>031390418.IB</t>
  </si>
  <si>
    <t>20131224</t>
  </si>
  <si>
    <t>13晋开投PPN002</t>
  </si>
  <si>
    <t>041359046.IB</t>
  </si>
  <si>
    <t>20130609</t>
  </si>
  <si>
    <t>13晋交投CP001</t>
  </si>
  <si>
    <t>1382306.IB</t>
  </si>
  <si>
    <t>13晋交投MTN1</t>
  </si>
  <si>
    <t>031390077.IB</t>
  </si>
  <si>
    <t>20130312</t>
  </si>
  <si>
    <t>13晋开投PPN001</t>
  </si>
  <si>
    <t>031290064.IB</t>
  </si>
  <si>
    <t>20121023</t>
  </si>
  <si>
    <t>12晋开投PPN001(三年期)</t>
  </si>
  <si>
    <t>031290065.IB</t>
  </si>
  <si>
    <t>12晋开投PPN001(五年期)</t>
  </si>
  <si>
    <t>0980123.IB</t>
  </si>
  <si>
    <t>20090805</t>
  </si>
  <si>
    <t>09晋交投债</t>
  </si>
  <si>
    <t>124931.SH</t>
  </si>
  <si>
    <t>09晋交投</t>
  </si>
  <si>
    <t>历史主体评级</t>
  </si>
  <si>
    <t>发布日期</t>
  </si>
  <si>
    <t>主体资信级别</t>
  </si>
  <si>
    <t>评级展望</t>
  </si>
  <si>
    <t>评级机构</t>
  </si>
  <si>
    <t>20180813</t>
  </si>
  <si>
    <t>稳定</t>
  </si>
  <si>
    <t>联合资信评估有限公司</t>
  </si>
  <si>
    <t>20180624</t>
  </si>
  <si>
    <t>20170626</t>
  </si>
  <si>
    <t>AA</t>
  </si>
  <si>
    <t>20161025</t>
  </si>
  <si>
    <t>20150626</t>
  </si>
  <si>
    <t>20140729</t>
  </si>
  <si>
    <t>20140408</t>
  </si>
  <si>
    <t>20130628</t>
  </si>
  <si>
    <t>20130130</t>
  </si>
  <si>
    <t>20121211</t>
  </si>
  <si>
    <t>20121107</t>
  </si>
  <si>
    <t>20111228</t>
  </si>
  <si>
    <t>20100809</t>
  </si>
  <si>
    <t>20090429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</si>
  <si>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</si>
  <si>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</si>
  <si>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</si>
  <si>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</si>
  <si>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</si>
  <si>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</si>
  <si>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</si>
  <si>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</si>
  <si>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</si>
  <si>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</si>
  <si>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</si>
  <si>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</si>
  <si>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</si>
  <si>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</si>
  <si>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</si>
  <si>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</si>
  <si>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</si>
  <si>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</si>
  <si>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</si>
  <si>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</si>
  <si>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</si>
  <si>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</si>
  <si>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</si>
  <si>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</si>
  <si>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</si>
  <si>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</si>
  <si>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</si>
  <si>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</si>
  <si>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</si>
  <si>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</si>
  <si>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</si>
  <si>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</si>
  <si>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</si>
  <si>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</si>
  <si>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</si>
  <si>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</si>
  <si>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</si>
  <si>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</si>
  <si>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</si>
  <si>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</si>
  <si>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</si>
  <si>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</si>
  <si>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</si>
  <si>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</si>
  <si>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地方国有企业</t>
  </si>
  <si>
    <t>工业--运输--交通基础设施--公路与铁路</t>
  </si>
  <si>
    <t>山西省太原市小店区长治路292号</t>
  </si>
  <si>
    <t>公司作为山西省交通基础设施领域投资建设和运营管理的主载体，按照国家和山西省交通发展规划和投资战略的要求，进行有计划、有步骤的投资经营，并得到了国家和山西省在产业政策、税收政策等方面的大力支持。公司作为山西省内高速公路行业的龙头企业，具有在省内承担大型高速公路建设项目的优势。公司协助交通厅，参与制定省内公路建设规划，并根据各规划路段的经济效益和社会效益情况，有选择性地承接省内公路项目的建设与运营，保证投资项目能获得合理的回报。目前，公司所运营的收费公路均具有良好的经济效益和投资回报。未来，公司将根据国家和省内公路建设规划，优先选择交通流量大、地理位置好的规划项目进行投资。</t>
  </si>
  <si>
    <t>山西交通控股集团有限公司</t>
  </si>
  <si>
    <t/>
  </si>
  <si>
    <t>A-1</t>
  </si>
  <si>
    <t>重庆高速公路股份有限公司</t>
  </si>
  <si>
    <t>天津高速公路集团有限公司</t>
  </si>
  <si>
    <t>黑龙江省高速公路集团公司</t>
  </si>
  <si>
    <t>苏州交通投资有限责任公司</t>
  </si>
  <si>
    <t>现代投资股份有限公司</t>
  </si>
  <si>
    <t>内蒙古高等级公路建设开发有限责任公司</t>
  </si>
  <si>
    <t>昆明交通产业股份有限公司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</si>
</sst>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山西省交通开发投资集团有限公司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工业--运输--交通基础设施--公路与铁路</v>
      </c>
      <c r="C5" s="117"/>
      <c r="D5" s="57" t="s">
        <v>5</v>
      </c>
      <c r="E5" s="116" t="str">
        <f>[1]!b_issuer_regaddress(A2)</f>
        <v>山西省太原市小店区长治路292号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作为山西省交通基础设施领域投资建设和运营管理的主载体，按照国家和山西省交通发展规划和投资战略的要求，进行有计划、有步骤的投资经营，并得到了国家和山西省在产业政策、税收政策等方面的大力支持。公司作为山西省内高速公路行业的龙头企业，具有在省内承担大型高速公路建设项目的优势。公司协助交通厅，参与制定省内公路建设规划，并根据各规划路段的经济效益和社会效益情况，有选择性地承接省内公路项目的建设与运营，保证投资项目能获得合理的回报。目前，公司所运营的收费公路均具有良好的经济效益和投资回报。未来，公司将根据国家和省内公路建设规划，优先选择交通流量大、地理位置好的规划项目进行投资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山西交通控股集团有限公司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d19041217.IB</v>
      </c>
      <c r="K14" s="26"/>
      <c r="L14" s="27" t="str">
        <f>T15</f>
        <v>1382052.IB</v>
      </c>
      <c r="M14" s="27" t="str">
        <f>T16</f>
        <v>1282368.IB</v>
      </c>
      <c r="N14" s="27" t="str">
        <f>T17</f>
        <v>1282415.IB</v>
      </c>
      <c r="O14" s="27" t="str">
        <f>T18</f>
        <v>101459006.IB</v>
      </c>
      <c r="P14" s="27" t="str">
        <f>T19</f>
        <v>068039.IB</v>
      </c>
      <c r="Q14" s="27" t="str">
        <f>T20</f>
        <v>078059.IB</v>
      </c>
      <c r="R14" s="5" t="str">
        <f>T21</f>
        <v>122559.SH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山西省交通开发投资集团有限公司</v>
      </c>
      <c r="K15" s="135"/>
      <c r="L15" s="8" t="str">
        <f>[1]!b_info_issuer(L14)</f>
        <v>重庆高速公路股份有限公司</v>
      </c>
      <c r="M15" s="8" t="str">
        <f>[1]!b_info_issuer(M14)</f>
        <v>天津高速公路集团有限公司</v>
      </c>
      <c r="N15" s="8" t="str">
        <f>[1]!b_info_issuer(N14)</f>
        <v>黑龙江省高速公路集团公司</v>
      </c>
      <c r="O15" s="8" t="str">
        <f>[1]!b_info_issuer(O14)</f>
        <v>苏州交通投资有限责任公司</v>
      </c>
      <c r="P15" s="8" t="str">
        <f>[1]!b_info_issuer(P14)</f>
        <v>现代投资股份有限公司</v>
      </c>
      <c r="Q15" s="8" t="str">
        <f>[1]!b_info_issuer(Q14)</f>
        <v>内蒙古高等级公路建设开发有限责任公司</v>
      </c>
      <c r="R15" s="8" t="str">
        <f>[1]!b_info_issuer(R14)</f>
        <v>昆明交通产业股份有限公司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239.84984128869999</v>
      </c>
      <c r="K19" s="121"/>
      <c r="L19" s="67">
        <f>[1]!b_stm07_bs(L14,74,L13,1)/100000000</f>
        <v>142.34439244180001</v>
      </c>
      <c r="M19" s="67">
        <f>[1]!b_stm07_bs(M14,74,M13,1)/100000000</f>
        <v>987.64705122249995</v>
      </c>
      <c r="N19" s="67">
        <f>[1]!b_stm07_bs(N14,74,N13,1)/100000000</f>
        <v>560.45141880410006</v>
      </c>
      <c r="O19" s="67">
        <f>[1]!b_stm07_bs(O14,74,O13,1)/100000000</f>
        <v>262.88436151680003</v>
      </c>
      <c r="P19" s="67">
        <f>[1]!b_stm07_bs(P14,74,P13,1)/100000000</f>
        <v>229.980265164</v>
      </c>
      <c r="Q19" s="67">
        <f>[1]!b_stm07_bs(Q14,74,Q13,1)/100000000</f>
        <v>1128.0853706737</v>
      </c>
      <c r="R19" s="67">
        <f>[1]!b_stm07_bs(R14,74,R13,1)/100000000</f>
        <v>791.73095952359995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0.726078</v>
      </c>
      <c r="K20" s="121"/>
      <c r="L20" s="10">
        <f>[1]!s_fa_debttoassets(L14,L13)/100</f>
        <v>0.644652</v>
      </c>
      <c r="M20" s="10">
        <f>[1]!s_fa_debttoassets(M14,M13)/100</f>
        <v>0.79210800000000003</v>
      </c>
      <c r="N20" s="10">
        <f>[1]!s_fa_debttoassets(N14,N13)/100</f>
        <v>0.49618600000000002</v>
      </c>
      <c r="O20" s="10">
        <f>[1]!s_fa_debttoassets(O14,O13)/100</f>
        <v>0.47631000000000001</v>
      </c>
      <c r="P20" s="10">
        <f>[1]!s_fa_debttoassets(P14,P13)/100</f>
        <v>0.61497400000000002</v>
      </c>
      <c r="Q20" s="10">
        <f>[1]!s_fa_debttoassets(Q14,Q13)/100</f>
        <v>0.80970200000000003</v>
      </c>
      <c r="R20" s="10">
        <f>[1]!s_fa_debttoassets(R14,R13)/100</f>
        <v>0.57813300000000001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0.84160000000000001</v>
      </c>
      <c r="K21" s="121"/>
      <c r="L21" s="67">
        <f>[1]!s_fa_current(L14,L13)</f>
        <v>0.85619999999999996</v>
      </c>
      <c r="M21" s="67">
        <f>[1]!s_fa_current(M14,M13)</f>
        <v>0.69910000000000005</v>
      </c>
      <c r="N21" s="67">
        <f>[1]!s_fa_current(N14,N13)</f>
        <v>1.2819</v>
      </c>
      <c r="O21" s="67">
        <f>[1]!s_fa_current(O14,O13)</f>
        <v>1.3633999999999999</v>
      </c>
      <c r="P21" s="67">
        <f>[1]!s_fa_current(P14,P13)</f>
        <v>0.87329999999999997</v>
      </c>
      <c r="Q21" s="67">
        <f>[1]!s_fa_current(Q14,Q13)</f>
        <v>1.0604</v>
      </c>
      <c r="R21" s="67">
        <f>[1]!s_fa_current(R14,R13)</f>
        <v>2.5264000000000002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2.3547618847831755</v>
      </c>
      <c r="K22" s="121"/>
      <c r="L22" s="65">
        <f>(公式页!L96+公式页!L97+公式页!L98+公式页!L99+公式页!L100+公式页!L101)/公式页!L103</f>
        <v>1.7042059794514939</v>
      </c>
      <c r="M22" s="65">
        <f t="shared" ref="M22:R22" si="0">(M96+M97+M98+M99+M100+M101)/M103</f>
        <v>3.0647945580385691</v>
      </c>
      <c r="N22" s="65">
        <f t="shared" si="0"/>
        <v>0.37236058464116234</v>
      </c>
      <c r="O22" s="65">
        <f t="shared" si="0"/>
        <v>0.22551757558183552</v>
      </c>
      <c r="P22" s="65">
        <f t="shared" si="0"/>
        <v>1.0957079521670761</v>
      </c>
      <c r="Q22" s="65">
        <f t="shared" si="0"/>
        <v>2.6352082550570466</v>
      </c>
      <c r="R22" s="65">
        <f t="shared" si="0"/>
        <v>0.86413410652446754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9.4200000000000006E-2</v>
      </c>
      <c r="K23" s="121"/>
      <c r="L23" s="67">
        <f>[1]!s_fa_ebitdatodebt(L14,L13)</f>
        <v>0.18410000000000001</v>
      </c>
      <c r="M23" s="67">
        <f>[1]!s_fa_ebitdatodebt(M14,M13)</f>
        <v>3.09E-2</v>
      </c>
      <c r="N23" s="67">
        <f>[1]!s_fa_ebitdatodebt(N14,N13)</f>
        <v>-1.5800000000000002E-2</v>
      </c>
      <c r="O23" s="67">
        <f>[1]!s_fa_ebitdatodebt(O14,O13)</f>
        <v>0.1242</v>
      </c>
      <c r="P23" s="67">
        <f>[1]!s_fa_ebitdatodebt(P14,P13)</f>
        <v>0.15890000000000001</v>
      </c>
      <c r="Q23" s="67">
        <f>[1]!s_fa_ebitdatodebt(Q14,Q13)</f>
        <v>3.9300000000000002E-2</v>
      </c>
      <c r="R23" s="67">
        <f>[1]!s_fa_ebitdatodebt(R14,R13)</f>
        <v>3.4799999999999998E-2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20.1992379412</v>
      </c>
      <c r="K24" s="121"/>
      <c r="L24" s="67">
        <f>[1]!b_stm07_is(L14,9,L13,1)/100000000</f>
        <v>19.3154716186</v>
      </c>
      <c r="M24" s="67">
        <f>[1]!b_stm07_is(M14,9,M13,1)/100000000</f>
        <v>36.4912776209</v>
      </c>
      <c r="N24" s="67">
        <f>[1]!b_stm07_is(N14,9,N13,1)/100000000</f>
        <v>37.790707419699999</v>
      </c>
      <c r="O24" s="67">
        <f>[1]!b_stm07_is(O14,9,O13,1)/100000000</f>
        <v>22.047921561300001</v>
      </c>
      <c r="P24" s="67">
        <f>[1]!b_stm07_is(P14,9,P13,1)/100000000</f>
        <v>105.92858420250001</v>
      </c>
      <c r="Q24" s="67">
        <f>[1]!b_stm07_is(Q14,9,Q13,1)/100000000</f>
        <v>61.093135398999998</v>
      </c>
      <c r="R24" s="67">
        <f>[1]!b_stm07_is(R14,9,R13,1)/100000000</f>
        <v>88.416295703700015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1.0427999999999999</v>
      </c>
      <c r="K25" s="121"/>
      <c r="L25" s="11">
        <f>[1]!s_fa_salescashintoor(L14,L13)%</f>
        <v>1.0053000000000001</v>
      </c>
      <c r="M25" s="11">
        <f>[1]!s_fa_salescashintoor(M14,M13)%</f>
        <v>1.0373000000000001</v>
      </c>
      <c r="N25" s="11">
        <f>[1]!s_fa_salescashintoor(N14,N13)%</f>
        <v>0.60709999999999997</v>
      </c>
      <c r="O25" s="11">
        <f>[1]!s_fa_salescashintoor(O14,O13)%</f>
        <v>0.98159999999999992</v>
      </c>
      <c r="P25" s="11">
        <f>[1]!s_fa_salescashintoor(P14,P13)%</f>
        <v>1.0996999999999999</v>
      </c>
      <c r="Q25" s="11">
        <f>[1]!s_fa_salescashintoor(Q14,Q13)%</f>
        <v>1.0132000000000001</v>
      </c>
      <c r="R25" s="11">
        <f>[1]!s_fa_salescashintoor(R14,R13)%</f>
        <v>0.95940000000000003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0.55463200000000001</v>
      </c>
      <c r="K26" s="121"/>
      <c r="L26" s="11">
        <f>[1]!s_fa_grossprofitmargin(L14,L13)%</f>
        <v>0.58741699999999997</v>
      </c>
      <c r="M26" s="11">
        <f>[1]!s_fa_grossprofitmargin(M14,M13)%</f>
        <v>0.39834000000000003</v>
      </c>
      <c r="N26" s="11">
        <f>[1]!s_fa_grossprofitmargin(N14,N13)%</f>
        <v>0.39391300000000001</v>
      </c>
      <c r="O26" s="11">
        <f>[1]!s_fa_grossprofitmargin(O14,O13)%</f>
        <v>-0.14046</v>
      </c>
      <c r="P26" s="11">
        <f>[1]!s_fa_grossprofitmargin(P14,P13)%</f>
        <v>0.14844299999999999</v>
      </c>
      <c r="Q26" s="11">
        <f>[1]!s_fa_grossprofitmargin(Q14,Q13)%</f>
        <v>0.66202399999999995</v>
      </c>
      <c r="R26" s="11">
        <f>[1]!s_fa_grossprofitmargin(R14,R13)%</f>
        <v>3.3923999999999996E-2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2.435901098</v>
      </c>
      <c r="K27" s="121"/>
      <c r="L27" s="68">
        <f>[1]!b_stm07_is(L14,60,L13,1)/100000000</f>
        <v>7.0249498097999998</v>
      </c>
      <c r="M27" s="68">
        <f>[1]!b_stm07_is(M14,60,M13,1)/100000000</f>
        <v>0.39842455859999998</v>
      </c>
      <c r="N27" s="68">
        <f>[1]!b_stm07_is(N14,60,N13,1)/100000000</f>
        <v>-8.6735462771999998</v>
      </c>
      <c r="O27" s="68">
        <f>[1]!b_stm07_is(O14,60,O13,1)/100000000</f>
        <v>7.0467217916999996</v>
      </c>
      <c r="P27" s="68">
        <f>[1]!b_stm07_is(P14,60,P13,1)/100000000</f>
        <v>8.4628038701000001</v>
      </c>
      <c r="Q27" s="68">
        <f>[1]!b_stm07_is(Q14,60,Q13,1)/100000000</f>
        <v>2.4515049319000002</v>
      </c>
      <c r="R27" s="68">
        <f>[1]!b_stm07_is(R14,60,R13,1)/100000000</f>
        <v>10.300626788700001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1.8418E-2</v>
      </c>
      <c r="K28" s="121"/>
      <c r="L28" s="10">
        <f>[1]!s_fa_roe(L14,L13)%</f>
        <v>9.5623E-2</v>
      </c>
      <c r="M28" s="10">
        <f>[1]!s_fa_roe(M14,M13)%</f>
        <v>1.4860000000000001E-3</v>
      </c>
      <c r="N28" s="10">
        <f>[1]!s_fa_roe(N14,N13)%</f>
        <v>-4.2729999999999997E-2</v>
      </c>
      <c r="O28" s="10">
        <f>[1]!s_fa_roe(O14,O13)%</f>
        <v>3.422E-2</v>
      </c>
      <c r="P28" s="10">
        <f>[1]!s_fa_roe(P14,P13)%</f>
        <v>0.106389</v>
      </c>
      <c r="Q28" s="10">
        <f>[1]!s_fa_roe(Q14,Q13)%</f>
        <v>1.1859999999999999E-2</v>
      </c>
      <c r="R28" s="10">
        <f>[1]!s_fa_roe(R14,R13)%</f>
        <v>3.5070000000000004E-2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12.935062244100001</v>
      </c>
      <c r="K29" s="121"/>
      <c r="L29" s="68">
        <f>[1]!b_stm07_cs(L14,39,L13,1)/100000000</f>
        <v>13.7318524789</v>
      </c>
      <c r="M29" s="68">
        <f>[1]!b_stm07_cs(M14,39,M13,1)/100000000</f>
        <v>43.723559191699998</v>
      </c>
      <c r="N29" s="68">
        <f>[1]!b_stm07_cs(N14,39,N13,1)/100000000</f>
        <v>8.5726873089999991</v>
      </c>
      <c r="O29" s="68">
        <f>[1]!b_stm07_cs(O14,39,O13,1)/100000000</f>
        <v>13.017348266300001</v>
      </c>
      <c r="P29" s="68">
        <f>[1]!b_stm07_cs(P14,39,P13,1)/100000000</f>
        <v>6.4151739949</v>
      </c>
      <c r="Q29" s="68">
        <f>[1]!b_stm07_cs(Q14,39,Q13,1)/100000000</f>
        <v>19.6132887037</v>
      </c>
      <c r="R29" s="68">
        <f>[1]!b_stm07_cs(R14,39,R13,1)/100000000</f>
        <v>7.4412369523999997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2100000000</v>
      </c>
      <c r="K96" s="70"/>
      <c r="L96" s="70">
        <f>[1]!b_stm07_bs(L14,75,L13,1)</f>
        <v>0</v>
      </c>
      <c r="M96" s="70">
        <f>[1]!b_stm07_bs(M14,75,M13,1)</f>
        <v>1701770000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2348739400</v>
      </c>
      <c r="Q96" s="70">
        <f>[1]!b_stm07_bs(Q14,75,Q13,1)</f>
        <v>2140000000</v>
      </c>
      <c r="R96" s="70">
        <f>[1]!b_stm07_bs(R14,75,R13,1)</f>
        <v>1180000000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120392642.06</v>
      </c>
      <c r="K97" s="70"/>
      <c r="L97" s="70">
        <f>[1]!b_stm07_bs(L14,82,L13,1)</f>
        <v>61058256.560000002</v>
      </c>
      <c r="M97" s="70">
        <f>[1]!b_stm07_bs(M14,82,M13,1)</f>
        <v>14126976.24</v>
      </c>
      <c r="N97" s="70">
        <f>[1]!b_stm07_bs(N14,82,N13,1)</f>
        <v>43093247.219999999</v>
      </c>
      <c r="O97" s="70">
        <f>[1]!b_stm07_bs(O14,82,O13,1)</f>
        <v>700647.83</v>
      </c>
      <c r="P97" s="70">
        <f>[1]!b_stm07_bs(P14,82,P13,1)</f>
        <v>59736258.049999997</v>
      </c>
      <c r="Q97" s="70">
        <f>[1]!b_stm07_bs(Q14,82,Q13,1)</f>
        <v>84698029.590000004</v>
      </c>
      <c r="R97" s="70">
        <f>[1]!b_stm07_bs(R14,82,R13,1)</f>
        <v>459317399.70999998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1006712500</v>
      </c>
      <c r="K98" s="70"/>
      <c r="L98" s="70">
        <f>[1]!b_stm07_bs(L14,88,L13,1)</f>
        <v>533437588.57999998</v>
      </c>
      <c r="M98" s="70">
        <f>[1]!b_stm07_bs(M14,88,M13,1)</f>
        <v>5706660934.9700003</v>
      </c>
      <c r="N98" s="70">
        <f>[1]!b_stm07_bs(N14,88,N13,1)</f>
        <v>0</v>
      </c>
      <c r="O98" s="70">
        <f>[1]!b_stm07_bs(O14,88,O13,1)</f>
        <v>110530000</v>
      </c>
      <c r="P98" s="70">
        <f>[1]!b_stm07_bs(P14,88,P13,1)</f>
        <v>654000000</v>
      </c>
      <c r="Q98" s="70">
        <f>[1]!b_stm07_bs(Q14,88,Q13,1)</f>
        <v>6888710422.0500002</v>
      </c>
      <c r="R98" s="70">
        <f>[1]!b_stm07_bs(R14,88,R13,1)</f>
        <v>7116039061.3999996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10243687500</v>
      </c>
      <c r="K100" s="70"/>
      <c r="L100" s="70">
        <f>[1]!b_stm07_bs(L14,94,L13,1)</f>
        <v>5835872439.8400002</v>
      </c>
      <c r="M100" s="70">
        <f>[1]!b_stm07_bs(M14,94,M13,1)</f>
        <v>53505048295.629997</v>
      </c>
      <c r="N100" s="70">
        <f>[1]!b_stm07_bs(N14,94,N13,1)</f>
        <v>10471000000</v>
      </c>
      <c r="O100" s="70">
        <f>[1]!b_stm07_bs(O14,94,O13,1)</f>
        <v>2357720100</v>
      </c>
      <c r="P100" s="70">
        <f>[1]!b_stm07_bs(P14,94,P13,1)</f>
        <v>6639828660</v>
      </c>
      <c r="Q100" s="70">
        <f>[1]!b_stm07_bs(Q14,94,Q13,1)</f>
        <v>34545568902.970001</v>
      </c>
      <c r="R100" s="70">
        <f>[1]!b_stm07_bs(R14,94,R13,1)</f>
        <v>9454051479.5699997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2000000000</v>
      </c>
      <c r="K101" s="70"/>
      <c r="L101" s="70">
        <f>[1]!b_stm07_bs(L14,95,L13,1)</f>
        <v>2189813132.6300001</v>
      </c>
      <c r="M101" s="70">
        <f>[1]!b_stm07_bs(M14,95,M13,1)</f>
        <v>2000000000</v>
      </c>
      <c r="N101" s="70">
        <f>[1]!b_stm07_bs(N14,95,N13,1)</f>
        <v>0</v>
      </c>
      <c r="O101" s="70">
        <f>[1]!b_stm07_bs(O14,95,O13,1)</f>
        <v>635750000</v>
      </c>
      <c r="P101" s="70">
        <f>[1]!b_stm07_bs(P14,95,P13,1)</f>
        <v>0</v>
      </c>
      <c r="Q101" s="70">
        <f>[1]!b_stm07_bs(Q14,95,Q13,1)</f>
        <v>12911549481.33</v>
      </c>
      <c r="R101" s="70">
        <f>[1]!b_stm07_bs(R14,95,R13,1)</f>
        <v>10653130262.540001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6570002997.7700005</v>
      </c>
      <c r="K103" s="70"/>
      <c r="L103" s="70">
        <f>[1]!b_stm07_bs(L14,141,L13,1)</f>
        <v>5058180479.0900002</v>
      </c>
      <c r="M103" s="70">
        <f>[1]!b_stm07_bs(M14,141,M13,1)</f>
        <v>20532406011.290001</v>
      </c>
      <c r="N103" s="70">
        <f>[1]!b_stm07_bs(N14,141,N13,1)</f>
        <v>28236321675.540001</v>
      </c>
      <c r="O103" s="70">
        <f>[1]!b_stm07_bs(O14,141,O13,1)</f>
        <v>13767001262.85</v>
      </c>
      <c r="P103" s="70">
        <f>[1]!b_stm07_bs(P14,141,P13,1)</f>
        <v>8854826962.6599998</v>
      </c>
      <c r="Q103" s="70">
        <f>[1]!b_stm07_bs(Q14,141,Q13,1)</f>
        <v>21467193997.810001</v>
      </c>
      <c r="R103" s="70">
        <f>[1]!b_stm07_bs(R14,141,R13,1)</f>
        <v>33400531219.98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d19041217.IB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0.726078</v>
      </c>
      <c r="C109" s="54" t="s">
        <v>36</v>
      </c>
      <c r="D109" s="71">
        <f>[1]!s_fa_current(A2,B2)</f>
        <v>0.84160000000000001</v>
      </c>
      <c r="E109" s="54" t="s">
        <v>41</v>
      </c>
      <c r="F109" s="72">
        <f>[1]!s_fa_salescashintoor(A2,B2)/100</f>
        <v>1.0427999999999999</v>
      </c>
      <c r="G109" s="54" t="s">
        <v>42</v>
      </c>
      <c r="H109" s="12">
        <f>S109/100</f>
        <v>0.55463200000000001</v>
      </c>
      <c r="I109" s="54"/>
      <c r="J109" s="16"/>
      <c r="K109" s="25"/>
      <c r="L109" s="34" t="s">
        <v>61</v>
      </c>
      <c r="M109" s="73">
        <f>[1]!s_fa_debttoassets(A2,B2)</f>
        <v>72.607799999999997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55.463200000000001</v>
      </c>
    </row>
    <row r="110" spans="1:19" ht="15.75" customHeight="1" x14ac:dyDescent="0.25">
      <c r="A110" s="54" t="s">
        <v>62</v>
      </c>
      <c r="B110" s="12">
        <f>M110/100</f>
        <v>0.17180399999999998</v>
      </c>
      <c r="C110" s="54" t="s">
        <v>63</v>
      </c>
      <c r="D110" s="72">
        <f>[1]!s_fa_quick(A2,B2)</f>
        <v>0.83919999999999995</v>
      </c>
      <c r="E110" s="54" t="s">
        <v>64</v>
      </c>
      <c r="F110" s="71">
        <f>[1]!s_fa_arturn(A2,B2)</f>
        <v>15.739000000000001</v>
      </c>
      <c r="G110" s="54" t="s">
        <v>65</v>
      </c>
      <c r="H110" s="12">
        <f>S110/100</f>
        <v>0.138741</v>
      </c>
      <c r="I110" s="54"/>
      <c r="J110" s="16"/>
      <c r="L110" s="54" t="s">
        <v>62</v>
      </c>
      <c r="M110" s="73">
        <f>[1]!s_fa_catoassets(A2,B2)</f>
        <v>17.180399999999999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13.8741</v>
      </c>
    </row>
    <row r="111" spans="1:19" ht="15" customHeight="1" x14ac:dyDescent="0.25">
      <c r="A111" s="54" t="s">
        <v>66</v>
      </c>
      <c r="B111" s="12">
        <f>M111/100</f>
        <v>0.28115299999999999</v>
      </c>
      <c r="C111" s="54" t="s">
        <v>39</v>
      </c>
      <c r="D111" s="72">
        <f>[1]!s_fa_ebitdatodebt(A2,B2)</f>
        <v>9.4200000000000006E-2</v>
      </c>
      <c r="E111" s="54" t="s">
        <v>67</v>
      </c>
      <c r="F111" s="71">
        <f>[1]!s_fa_invturn(A2,B2)</f>
        <v>76.1601</v>
      </c>
      <c r="G111" s="54" t="s">
        <v>45</v>
      </c>
      <c r="H111" s="12">
        <f>S111/100</f>
        <v>1.8418E-2</v>
      </c>
      <c r="I111" s="54"/>
      <c r="J111" s="16"/>
      <c r="L111" s="54" t="s">
        <v>66</v>
      </c>
      <c r="M111" s="73">
        <f>[1]!s_fa_currentdebttodebt(A2,B2)</f>
        <v>28.115300000000001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1.8418000000000001</v>
      </c>
    </row>
    <row r="112" spans="1:19" ht="14.25" customHeight="1" x14ac:dyDescent="0.25">
      <c r="A112" s="54" t="s">
        <v>38</v>
      </c>
      <c r="B112" s="75">
        <f>(M116+M117+M118+M119+M120+M121)/M123</f>
        <v>2.3547618847831755</v>
      </c>
      <c r="C112" s="54" t="s">
        <v>68</v>
      </c>
      <c r="D112" s="72">
        <f>[1]!s_fa_ebittointerest(A2,B2)</f>
        <v>1.355</v>
      </c>
      <c r="E112" s="54" t="s">
        <v>69</v>
      </c>
      <c r="F112" s="71">
        <f>[1]!s_fa_caturn(A2,B2)</f>
        <v>0.40939999999999999</v>
      </c>
      <c r="G112" s="54" t="s">
        <v>70</v>
      </c>
      <c r="H112" s="12">
        <f>S112/100</f>
        <v>4.7196999999999996E-2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4.7196999999999996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8.1500000000000003E-2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2100000000</v>
      </c>
    </row>
    <row r="117" spans="1:21" ht="14.25" customHeight="1" x14ac:dyDescent="0.25">
      <c r="A117" s="54" t="s">
        <v>77</v>
      </c>
      <c r="B117" s="72">
        <f t="shared" ref="B117:B131" si="1">M127/100000000</f>
        <v>20.108957159799999</v>
      </c>
      <c r="C117" s="54" t="s">
        <v>78</v>
      </c>
      <c r="D117" s="75">
        <f t="shared" ref="D117:D125" si="2">O127/100000000</f>
        <v>20.1992379412</v>
      </c>
      <c r="E117" s="128" t="s">
        <v>79</v>
      </c>
      <c r="F117" s="121"/>
      <c r="G117" s="121"/>
      <c r="H117" s="129">
        <f t="shared" ref="H117:H131" si="3">S127/100000000</f>
        <v>21.063717558800001</v>
      </c>
      <c r="I117" s="121"/>
      <c r="J117" s="121"/>
      <c r="L117" s="17" t="s">
        <v>48</v>
      </c>
      <c r="M117" s="70">
        <f>[1]!b_stm07_bs(K107,82,L107,1)</f>
        <v>120392642.06</v>
      </c>
    </row>
    <row r="118" spans="1:21" ht="14.25" customHeight="1" x14ac:dyDescent="0.25">
      <c r="A118" s="54" t="s">
        <v>80</v>
      </c>
      <c r="B118" s="72">
        <f t="shared" si="1"/>
        <v>1.5336886837000001</v>
      </c>
      <c r="C118" s="54" t="s">
        <v>81</v>
      </c>
      <c r="D118" s="75">
        <f t="shared" si="2"/>
        <v>19.223395737099999</v>
      </c>
      <c r="E118" s="128" t="s">
        <v>82</v>
      </c>
      <c r="F118" s="121"/>
      <c r="G118" s="121"/>
      <c r="H118" s="129">
        <f t="shared" si="3"/>
        <v>4.3879934951999999</v>
      </c>
      <c r="I118" s="121"/>
      <c r="J118" s="121"/>
      <c r="L118" s="17" t="s">
        <v>49</v>
      </c>
      <c r="M118" s="70">
        <f>[1]!b_stm07_bs(K107,88,L107,1)</f>
        <v>1006712500</v>
      </c>
    </row>
    <row r="119" spans="1:21" ht="14.25" customHeight="1" x14ac:dyDescent="0.25">
      <c r="A119" s="54" t="s">
        <v>83</v>
      </c>
      <c r="B119" s="72">
        <f t="shared" si="1"/>
        <v>13.789639152499999</v>
      </c>
      <c r="C119" s="54" t="s">
        <v>84</v>
      </c>
      <c r="D119" s="75">
        <f t="shared" si="2"/>
        <v>8.9960996025999993</v>
      </c>
      <c r="E119" s="128" t="s">
        <v>85</v>
      </c>
      <c r="F119" s="121"/>
      <c r="G119" s="121"/>
      <c r="H119" s="130">
        <f t="shared" si="3"/>
        <v>25.451872685599998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53.729752060699994</v>
      </c>
      <c r="C120" s="54" t="s">
        <v>87</v>
      </c>
      <c r="D120" s="75">
        <f t="shared" si="2"/>
        <v>3.8759712699999997E-2</v>
      </c>
      <c r="E120" s="128" t="s">
        <v>88</v>
      </c>
      <c r="F120" s="121"/>
      <c r="G120" s="121"/>
      <c r="H120" s="129">
        <f t="shared" si="3"/>
        <v>2.9578678650999999</v>
      </c>
      <c r="I120" s="121"/>
      <c r="J120" s="121"/>
      <c r="L120" s="17" t="s">
        <v>51</v>
      </c>
      <c r="M120" s="70">
        <f>[1]!b_stm07_bs(K107,94,L107,1)</f>
        <v>10243687500</v>
      </c>
    </row>
    <row r="121" spans="1:21" ht="14.25" customHeight="1" x14ac:dyDescent="0.25">
      <c r="A121" s="54" t="s">
        <v>89</v>
      </c>
      <c r="B121" s="72">
        <f t="shared" si="1"/>
        <v>2.1068158853000001</v>
      </c>
      <c r="C121" s="54" t="s">
        <v>90</v>
      </c>
      <c r="D121" s="75">
        <f t="shared" si="2"/>
        <v>1.1571669337000001</v>
      </c>
      <c r="E121" s="128" t="s">
        <v>91</v>
      </c>
      <c r="F121" s="121"/>
      <c r="G121" s="121"/>
      <c r="H121" s="129">
        <f t="shared" si="3"/>
        <v>5.4287945884000006</v>
      </c>
      <c r="I121" s="121"/>
      <c r="J121" s="121"/>
      <c r="L121" s="17" t="s">
        <v>52</v>
      </c>
      <c r="M121" s="70">
        <f>[1]!b_stm07_bs(K107,95,L107,1)</f>
        <v>2000000000</v>
      </c>
    </row>
    <row r="122" spans="1:21" ht="14.25" customHeight="1" x14ac:dyDescent="0.25">
      <c r="A122" s="54" t="s">
        <v>92</v>
      </c>
      <c r="B122" s="72">
        <f t="shared" si="1"/>
        <v>118.2920078325</v>
      </c>
      <c r="C122" s="54" t="s">
        <v>93</v>
      </c>
      <c r="D122" s="75">
        <f t="shared" si="2"/>
        <v>8.8507201573999996</v>
      </c>
      <c r="E122" s="128" t="s">
        <v>94</v>
      </c>
      <c r="F122" s="121"/>
      <c r="G122" s="121"/>
      <c r="H122" s="130">
        <f t="shared" si="3"/>
        <v>12.516810441500001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239.84984128869999</v>
      </c>
      <c r="C123" s="54" t="s">
        <v>96</v>
      </c>
      <c r="D123" s="75">
        <f t="shared" si="2"/>
        <v>2.8024684057</v>
      </c>
      <c r="E123" s="128" t="s">
        <v>97</v>
      </c>
      <c r="F123" s="121"/>
      <c r="G123" s="121"/>
      <c r="H123" s="130">
        <f t="shared" si="3"/>
        <v>12.935062244100001</v>
      </c>
      <c r="I123" s="121"/>
      <c r="J123" s="121"/>
      <c r="L123" s="17" t="s">
        <v>53</v>
      </c>
      <c r="M123" s="70">
        <f>[1]!b_stm07_bs(K107,141,L107,1)</f>
        <v>6570002997.7700005</v>
      </c>
    </row>
    <row r="124" spans="1:21" ht="14.25" customHeight="1" x14ac:dyDescent="0.25">
      <c r="A124" s="54" t="s">
        <v>98</v>
      </c>
      <c r="B124" s="72">
        <f t="shared" si="1"/>
        <v>21</v>
      </c>
      <c r="C124" s="54" t="s">
        <v>99</v>
      </c>
      <c r="D124" s="75">
        <f t="shared" si="2"/>
        <v>3.0627076087000003</v>
      </c>
      <c r="E124" s="128" t="s">
        <v>100</v>
      </c>
      <c r="F124" s="121"/>
      <c r="G124" s="121"/>
      <c r="H124" s="130">
        <f t="shared" si="3"/>
        <v>0.13214227949999999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10.067125000000001</v>
      </c>
      <c r="C125" s="54" t="s">
        <v>43</v>
      </c>
      <c r="D125" s="75">
        <f t="shared" si="2"/>
        <v>2.435901098</v>
      </c>
      <c r="E125" s="128" t="s">
        <v>102</v>
      </c>
      <c r="F125" s="121"/>
      <c r="G125" s="121"/>
      <c r="H125" s="129">
        <f t="shared" si="3"/>
        <v>0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54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102.436875</v>
      </c>
      <c r="C127" s="54"/>
      <c r="D127" s="79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54" t="s">
        <v>77</v>
      </c>
      <c r="M127" s="74">
        <f>[1]!b_stm07_bs(K107,9,L107,1)</f>
        <v>2010895715.98</v>
      </c>
      <c r="N127" s="54" t="s">
        <v>78</v>
      </c>
      <c r="O127" s="74">
        <f>[1]!b_stm07_is(K107,83,L107,1)</f>
        <v>2019923794.1199999</v>
      </c>
      <c r="P127" s="128" t="s">
        <v>79</v>
      </c>
      <c r="Q127" s="121"/>
      <c r="R127" s="121"/>
      <c r="S127" s="133">
        <f>[1]!b_stm07_cs(K107,9,L107,1)</f>
        <v>2106371755.8800001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20</v>
      </c>
      <c r="C128" s="54"/>
      <c r="D128" s="79"/>
      <c r="E128" s="128" t="s">
        <v>108</v>
      </c>
      <c r="F128" s="121"/>
      <c r="G128" s="121"/>
      <c r="H128" s="130">
        <f t="shared" si="3"/>
        <v>75.575000000000003</v>
      </c>
      <c r="I128" s="121"/>
      <c r="J128" s="121"/>
      <c r="L128" s="54" t="s">
        <v>80</v>
      </c>
      <c r="M128" s="74">
        <f>[1]!b_stm07_bs(K107,12,L107,1)</f>
        <v>153368868.37</v>
      </c>
      <c r="N128" s="54" t="s">
        <v>81</v>
      </c>
      <c r="O128" s="74">
        <f>[1]!b_stm07_is(K107,84,L107,1)</f>
        <v>1922339573.71</v>
      </c>
      <c r="P128" s="128" t="s">
        <v>82</v>
      </c>
      <c r="Q128" s="121"/>
      <c r="R128" s="121"/>
      <c r="S128" s="133">
        <f>[1]!b_stm07_cs(K107,11,L107,1)</f>
        <v>438799349.51999998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174.14981131099998</v>
      </c>
      <c r="C129" s="14"/>
      <c r="D129" s="13"/>
      <c r="E129" s="128" t="s">
        <v>110</v>
      </c>
      <c r="F129" s="121"/>
      <c r="G129" s="121"/>
      <c r="H129" s="129">
        <f t="shared" si="3"/>
        <v>73.927465329900002</v>
      </c>
      <c r="I129" s="121"/>
      <c r="J129" s="121"/>
      <c r="L129" s="54" t="s">
        <v>83</v>
      </c>
      <c r="M129" s="74">
        <f>[1]!b_stm07_bs(K107,13,L107,1)</f>
        <v>1378963915.25</v>
      </c>
      <c r="N129" s="54" t="s">
        <v>84</v>
      </c>
      <c r="O129" s="74">
        <f>[1]!b_stm07_is(K107,10,L107,1)</f>
        <v>899609960.25999999</v>
      </c>
      <c r="P129" s="128" t="s">
        <v>85</v>
      </c>
      <c r="Q129" s="121"/>
      <c r="R129" s="121"/>
      <c r="S129" s="134">
        <f>[1]!b_stm07_cs(K107,25,L107,1)</f>
        <v>2545187268.5599999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65.700029977699998</v>
      </c>
      <c r="C130" s="14"/>
      <c r="D130" s="13"/>
      <c r="E130" s="128" t="s">
        <v>112</v>
      </c>
      <c r="F130" s="121"/>
      <c r="G130" s="121"/>
      <c r="H130" s="129">
        <f t="shared" si="3"/>
        <v>85.184132718000001</v>
      </c>
      <c r="I130" s="121"/>
      <c r="J130" s="121"/>
      <c r="L130" s="54" t="s">
        <v>86</v>
      </c>
      <c r="M130" s="74">
        <f>[1]!b_stm07_bs(K107,31,L107,1)</f>
        <v>5372975206.0699997</v>
      </c>
      <c r="N130" s="54" t="s">
        <v>87</v>
      </c>
      <c r="O130" s="74">
        <f>[1]!b_stm07_is(K107,12,L107,1)</f>
        <v>3875971.27</v>
      </c>
      <c r="P130" s="128" t="s">
        <v>88</v>
      </c>
      <c r="Q130" s="121"/>
      <c r="R130" s="121"/>
      <c r="S130" s="133">
        <f>[1]!b_stm07_cs(K107,26,L107,1)</f>
        <v>295786786.50999999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239.84984128869999</v>
      </c>
      <c r="C131" s="14"/>
      <c r="D131" s="13"/>
      <c r="E131" s="128" t="s">
        <v>114</v>
      </c>
      <c r="F131" s="121"/>
      <c r="G131" s="121"/>
      <c r="H131" s="130">
        <f t="shared" si="3"/>
        <v>-9.6091327179999997</v>
      </c>
      <c r="I131" s="121"/>
      <c r="J131" s="121"/>
      <c r="L131" s="54" t="s">
        <v>89</v>
      </c>
      <c r="M131" s="74">
        <f>[1]!b_stm07_bs(K107,33,L107,1)</f>
        <v>210681588.53</v>
      </c>
      <c r="N131" s="54" t="s">
        <v>90</v>
      </c>
      <c r="O131" s="74">
        <f>[1]!b_stm07_is(K107,13,L107,1)</f>
        <v>115716693.37</v>
      </c>
      <c r="P131" s="128" t="s">
        <v>91</v>
      </c>
      <c r="Q131" s="121"/>
      <c r="R131" s="121"/>
      <c r="S131" s="133">
        <f>[1]!b_stm07_cs(K107,29,L107,1)</f>
        <v>542879458.84000003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11829200783.25</v>
      </c>
      <c r="N132" s="54" t="s">
        <v>93</v>
      </c>
      <c r="O132" s="74">
        <f>[1]!b_stm07_is(K107,14,L107,1)</f>
        <v>885072015.74000001</v>
      </c>
      <c r="P132" s="128" t="s">
        <v>94</v>
      </c>
      <c r="Q132" s="121"/>
      <c r="R132" s="121"/>
      <c r="S132" s="134">
        <f>[1]!b_stm07_cs(K107,37,L107,1)</f>
        <v>1251681044.1500001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23984984128.869999</v>
      </c>
      <c r="N133" s="54" t="s">
        <v>96</v>
      </c>
      <c r="O133" s="74">
        <f>[1]!b_stm07_is(K107,48,L107,1)</f>
        <v>280246840.56999999</v>
      </c>
      <c r="P133" s="128" t="s">
        <v>97</v>
      </c>
      <c r="Q133" s="121"/>
      <c r="R133" s="121"/>
      <c r="S133" s="134">
        <f>[1]!b_stm07_cs(K107,39,L107,1)</f>
        <v>1293506224.4100001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2100000000</v>
      </c>
      <c r="N134" s="54" t="s">
        <v>99</v>
      </c>
      <c r="O134" s="74">
        <f>[1]!b_stm07_is(K107,55,L107,1)</f>
        <v>306270760.87</v>
      </c>
      <c r="P134" s="128" t="s">
        <v>100</v>
      </c>
      <c r="Q134" s="121"/>
      <c r="R134" s="121"/>
      <c r="S134" s="134">
        <f>[1]!b_stm07_cs(K107,59,L107,1)</f>
        <v>13214227.949999999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1006712500</v>
      </c>
      <c r="N135" s="54" t="s">
        <v>43</v>
      </c>
      <c r="O135" s="74">
        <f>[1]!b_stm07_is(K107,60,L107,1)</f>
        <v>243590109.80000001</v>
      </c>
      <c r="P135" s="128" t="s">
        <v>102</v>
      </c>
      <c r="Q135" s="121"/>
      <c r="R135" s="121"/>
      <c r="S135" s="133">
        <f>[1]!b_stm07_cs(K107,60,L107,1)</f>
        <v>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5400000000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10243687500</v>
      </c>
      <c r="N137" s="54"/>
      <c r="O137" s="79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2000000000</v>
      </c>
      <c r="N138" s="54"/>
      <c r="O138" s="79"/>
      <c r="P138" s="128" t="s">
        <v>108</v>
      </c>
      <c r="Q138" s="121"/>
      <c r="R138" s="121"/>
      <c r="S138" s="134">
        <f>[1]!b_stm07_cs(K107,68,L107,1)</f>
        <v>7557500000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17414981131.099998</v>
      </c>
      <c r="N139" s="14"/>
      <c r="O139" s="13"/>
      <c r="P139" s="128" t="s">
        <v>110</v>
      </c>
      <c r="Q139" s="121"/>
      <c r="R139" s="121"/>
      <c r="S139" s="133">
        <f>[1]!b_stm07_cs(K107,69,L107,1)</f>
        <v>7392746532.9899998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6570002997.7700005</v>
      </c>
      <c r="N140" s="14"/>
      <c r="O140" s="13"/>
      <c r="P140" s="128" t="s">
        <v>112</v>
      </c>
      <c r="Q140" s="121"/>
      <c r="R140" s="121"/>
      <c r="S140" s="133">
        <f>[1]!b_stm07_cs(K107,75,L107,1)</f>
        <v>8518413271.8000002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23984984128.869999</v>
      </c>
      <c r="N141" s="14"/>
      <c r="O141" s="13"/>
      <c r="P141" s="128" t="s">
        <v>114</v>
      </c>
      <c r="Q141" s="121"/>
      <c r="R141" s="121"/>
      <c r="S141" s="134">
        <f>[1]!b_stm07_cs(K107,77,L107,1)</f>
        <v>-960913271.79999995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219</v>
      </c>
      <c r="C2" s="117"/>
      <c r="D2" s="57" t="s">
        <v>3</v>
      </c>
      <c r="E2" s="116" t="s">
        <v>250</v>
      </c>
      <c r="F2" s="117"/>
      <c r="G2" s="117"/>
    </row>
    <row r="3" spans="1:12" ht="14.25" customHeight="1" x14ac:dyDescent="0.25">
      <c r="A3" s="57" t="s">
        <v>4</v>
      </c>
      <c r="B3" s="116" t="s">
        <v>251</v>
      </c>
      <c r="C3" s="117"/>
      <c r="D3" s="57" t="s">
        <v>5</v>
      </c>
      <c r="E3" s="116" t="s">
        <v>252</v>
      </c>
      <c r="F3" s="117"/>
      <c r="G3" s="117"/>
    </row>
    <row r="4" spans="1:12" ht="113.25" customHeight="1" x14ac:dyDescent="0.25">
      <c r="A4" s="57" t="s">
        <v>6</v>
      </c>
      <c r="B4" s="118" t="s">
        <v>253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254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255</v>
      </c>
      <c r="C6" s="117"/>
      <c r="D6" s="117"/>
      <c r="E6" s="117"/>
      <c r="F6" s="138" t="s">
        <v>255</v>
      </c>
      <c r="G6" s="117"/>
    </row>
    <row r="7" spans="1:12" ht="11.25" customHeight="1" x14ac:dyDescent="0.25">
      <c r="A7" s="81" t="s">
        <v>117</v>
      </c>
      <c r="B7" s="137" t="s">
        <v>255</v>
      </c>
      <c r="C7" s="117"/>
      <c r="D7" s="117"/>
      <c r="E7" s="117"/>
      <c r="F7" s="138" t="s">
        <v>255</v>
      </c>
      <c r="G7" s="117"/>
    </row>
    <row r="8" spans="1:12" ht="11.25" customHeight="1" x14ac:dyDescent="0.25">
      <c r="A8" s="81" t="s">
        <v>118</v>
      </c>
      <c r="B8" s="137" t="s">
        <v>255</v>
      </c>
      <c r="C8" s="117"/>
      <c r="D8" s="117"/>
      <c r="E8" s="117"/>
      <c r="F8" s="138" t="s">
        <v>255</v>
      </c>
      <c r="G8" s="117"/>
    </row>
    <row r="9" spans="1:12" ht="11.25" customHeight="1" x14ac:dyDescent="0.25">
      <c r="A9" s="81" t="s">
        <v>119</v>
      </c>
      <c r="B9" s="137" t="s">
        <v>255</v>
      </c>
      <c r="C9" s="117"/>
      <c r="D9" s="117"/>
      <c r="E9" s="117"/>
      <c r="F9" s="138" t="s">
        <v>255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5.43</v>
      </c>
      <c r="E13" s="63">
        <v>5</v>
      </c>
      <c r="F13" s="64" t="s">
        <v>25</v>
      </c>
      <c r="G13" s="63">
        <v>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3.5</v>
      </c>
      <c r="E14" s="82">
        <v>0.66301369863013704</v>
      </c>
      <c r="F14">
        <v>0</v>
      </c>
      <c r="G14" s="63">
        <v>3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4.07</v>
      </c>
      <c r="E15" s="82">
        <v>0.32876712328767121</v>
      </c>
      <c r="F15">
        <v>0</v>
      </c>
      <c r="G15" s="63">
        <v>10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4.17</v>
      </c>
      <c r="E16" s="82">
        <v>0.27671232876712326</v>
      </c>
      <c r="F16">
        <v>0</v>
      </c>
      <c r="G16" s="63">
        <v>10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4.25</v>
      </c>
      <c r="E17" s="82">
        <v>0.25753424657534246</v>
      </c>
      <c r="F17">
        <v>0</v>
      </c>
      <c r="G17" s="63">
        <v>13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4.5999999999999996</v>
      </c>
      <c r="E18" s="82">
        <v>0.10410958904109589</v>
      </c>
      <c r="F18">
        <v>0</v>
      </c>
      <c r="G18" s="63">
        <v>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5.6</v>
      </c>
      <c r="E19" s="82">
        <v>0</v>
      </c>
      <c r="F19">
        <v>0</v>
      </c>
      <c r="G19" s="63">
        <v>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5.96</v>
      </c>
      <c r="E20" s="82">
        <v>0</v>
      </c>
      <c r="F20">
        <v>0</v>
      </c>
      <c r="G20" s="63">
        <v>20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5.0999999999999996</v>
      </c>
      <c r="E21" s="82">
        <v>0</v>
      </c>
      <c r="F21">
        <v>0</v>
      </c>
      <c r="G21" s="63">
        <v>10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4.3</v>
      </c>
      <c r="E22" s="82">
        <v>0</v>
      </c>
      <c r="F22">
        <v>0</v>
      </c>
      <c r="G22" s="63">
        <v>7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4.5</v>
      </c>
      <c r="E23" s="82">
        <v>0</v>
      </c>
      <c r="F23">
        <v>0</v>
      </c>
      <c r="G23" s="63">
        <v>10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3.4</v>
      </c>
      <c r="E24" s="82">
        <v>0</v>
      </c>
      <c r="F24">
        <v>0</v>
      </c>
      <c r="G24" s="63">
        <v>13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3">
        <v>6.15</v>
      </c>
      <c r="E25" s="82">
        <v>0</v>
      </c>
      <c r="F25">
        <v>0</v>
      </c>
      <c r="G25" s="63">
        <v>3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3">
        <v>5.9</v>
      </c>
      <c r="E26" s="82">
        <v>0</v>
      </c>
      <c r="F26" t="s">
        <v>256</v>
      </c>
      <c r="G26" s="63">
        <v>7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3">
        <v>7.99</v>
      </c>
      <c r="E27" s="82">
        <v>0</v>
      </c>
      <c r="F27">
        <v>0</v>
      </c>
      <c r="G27" s="63">
        <v>1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3">
        <v>4.8</v>
      </c>
      <c r="E28" s="82">
        <v>0</v>
      </c>
      <c r="F28" t="s">
        <v>256</v>
      </c>
      <c r="G28" s="63">
        <v>8</v>
      </c>
    </row>
    <row r="29" spans="1:7" ht="14.4" customHeight="1" x14ac:dyDescent="0.25">
      <c r="A29" t="s">
        <v>169</v>
      </c>
      <c r="B29" t="s">
        <v>167</v>
      </c>
      <c r="C29" t="s">
        <v>170</v>
      </c>
      <c r="D29" s="63">
        <v>5.59</v>
      </c>
      <c r="E29" s="82">
        <v>0</v>
      </c>
      <c r="F29" t="s">
        <v>194</v>
      </c>
      <c r="G29" s="63">
        <v>3.5</v>
      </c>
    </row>
    <row r="30" spans="1:7" ht="14.4" customHeight="1" x14ac:dyDescent="0.25">
      <c r="A30" t="s">
        <v>171</v>
      </c>
      <c r="B30" t="s">
        <v>172</v>
      </c>
      <c r="C30" t="s">
        <v>173</v>
      </c>
      <c r="D30" s="63">
        <v>6.5</v>
      </c>
      <c r="E30" s="82">
        <v>0</v>
      </c>
      <c r="F30">
        <v>0</v>
      </c>
      <c r="G30" s="63">
        <v>10</v>
      </c>
    </row>
    <row r="31" spans="1:7" ht="14.4" customHeight="1" x14ac:dyDescent="0.25">
      <c r="A31" t="s">
        <v>174</v>
      </c>
      <c r="B31" t="s">
        <v>175</v>
      </c>
      <c r="C31" t="s">
        <v>176</v>
      </c>
      <c r="D31" s="63">
        <v>6.8</v>
      </c>
      <c r="E31" s="82">
        <v>0</v>
      </c>
      <c r="F31">
        <v>0</v>
      </c>
      <c r="G31" s="63">
        <v>10</v>
      </c>
    </row>
    <row r="32" spans="1:7" ht="14.4" customHeight="1" x14ac:dyDescent="0.25">
      <c r="A32" t="s">
        <v>177</v>
      </c>
      <c r="B32" t="s">
        <v>175</v>
      </c>
      <c r="C32" t="s">
        <v>178</v>
      </c>
      <c r="D32" s="63">
        <v>7.5</v>
      </c>
      <c r="E32" s="82">
        <v>0</v>
      </c>
      <c r="F32">
        <v>0</v>
      </c>
      <c r="G32" s="63">
        <v>20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5.8</v>
      </c>
      <c r="E33" s="82">
        <v>0.31506849315068491</v>
      </c>
      <c r="F33" t="s">
        <v>25</v>
      </c>
      <c r="G33" s="63">
        <v>20</v>
      </c>
    </row>
    <row r="34" spans="1:7" ht="14.4" customHeight="1" x14ac:dyDescent="0.25">
      <c r="A34" t="s">
        <v>182</v>
      </c>
      <c r="B34" t="s">
        <v>180</v>
      </c>
      <c r="C34" t="s">
        <v>183</v>
      </c>
      <c r="D34" s="63">
        <v>5.8</v>
      </c>
      <c r="E34" s="82">
        <v>0.31506849315068491</v>
      </c>
      <c r="F34" t="s">
        <v>25</v>
      </c>
      <c r="G34" s="63">
        <v>20</v>
      </c>
    </row>
    <row r="35" spans="1:7" ht="14.4" customHeight="1" x14ac:dyDescent="0.25">
      <c r="D35" s="63"/>
      <c r="E35" s="82"/>
      <c r="G35" s="63"/>
    </row>
    <row r="36" spans="1:7" ht="14.4" customHeight="1" x14ac:dyDescent="0.25">
      <c r="D36" s="63"/>
      <c r="E36" s="82"/>
      <c r="G36" s="63"/>
    </row>
    <row r="37" spans="1:7" ht="14.4" customHeight="1" x14ac:dyDescent="0.25">
      <c r="D37" s="63"/>
      <c r="E37" s="82"/>
      <c r="G37" s="63"/>
    </row>
    <row r="38" spans="1:7" ht="14.4" customHeight="1" x14ac:dyDescent="0.25">
      <c r="D38" s="63"/>
      <c r="E38" s="82"/>
      <c r="G38" s="63"/>
    </row>
    <row r="39" spans="1:7" ht="14.4" customHeight="1" x14ac:dyDescent="0.25">
      <c r="D39" s="63"/>
      <c r="E39" s="82"/>
      <c r="G39" s="63"/>
    </row>
    <row r="40" spans="1:7" ht="14.4" customHeight="1" x14ac:dyDescent="0.25">
      <c r="A40" s="140" t="s">
        <v>184</v>
      </c>
      <c r="B40" s="140"/>
      <c r="C40" s="140"/>
      <c r="D40" s="140"/>
      <c r="E40" s="82"/>
      <c r="G40" s="63"/>
    </row>
    <row r="41" spans="1:7" ht="14.4" customHeight="1" x14ac:dyDescent="0.25">
      <c r="A41" s="83" t="s">
        <v>185</v>
      </c>
      <c r="B41" s="83" t="s">
        <v>186</v>
      </c>
      <c r="C41" s="83" t="s">
        <v>187</v>
      </c>
      <c r="D41" s="84" t="s">
        <v>188</v>
      </c>
      <c r="E41" s="82"/>
      <c r="G41" s="63"/>
    </row>
    <row r="42" spans="1:7" ht="14.4" customHeight="1" x14ac:dyDescent="0.25">
      <c r="A42" t="s">
        <v>189</v>
      </c>
      <c r="B42" t="s">
        <v>25</v>
      </c>
      <c r="C42" t="s">
        <v>190</v>
      </c>
      <c r="D42" s="63" t="s">
        <v>191</v>
      </c>
      <c r="E42" s="82"/>
      <c r="G42" s="63"/>
    </row>
    <row r="43" spans="1:7" ht="14.4" customHeight="1" x14ac:dyDescent="0.25">
      <c r="A43" t="s">
        <v>192</v>
      </c>
      <c r="B43" t="s">
        <v>25</v>
      </c>
      <c r="C43" t="s">
        <v>190</v>
      </c>
      <c r="D43" s="63" t="s">
        <v>191</v>
      </c>
      <c r="E43" s="82"/>
      <c r="G43" s="63"/>
    </row>
    <row r="44" spans="1:7" ht="14.4" customHeight="1" x14ac:dyDescent="0.25">
      <c r="A44" t="s">
        <v>193</v>
      </c>
      <c r="B44" t="s">
        <v>194</v>
      </c>
      <c r="C44" t="s">
        <v>190</v>
      </c>
      <c r="D44" s="63" t="s">
        <v>191</v>
      </c>
      <c r="E44" s="82"/>
      <c r="G44" s="63"/>
    </row>
    <row r="45" spans="1:7" ht="14.4" customHeight="1" x14ac:dyDescent="0.25">
      <c r="A45" t="s">
        <v>195</v>
      </c>
      <c r="B45" t="s">
        <v>194</v>
      </c>
      <c r="C45" t="s">
        <v>190</v>
      </c>
      <c r="D45" s="63" t="s">
        <v>191</v>
      </c>
      <c r="E45" s="82"/>
      <c r="G45" s="63"/>
    </row>
    <row r="46" spans="1:7" ht="14.4" customHeight="1" x14ac:dyDescent="0.25">
      <c r="A46" t="s">
        <v>196</v>
      </c>
      <c r="B46" t="s">
        <v>194</v>
      </c>
      <c r="C46" t="s">
        <v>190</v>
      </c>
      <c r="D46" s="63" t="s">
        <v>191</v>
      </c>
      <c r="E46" s="82"/>
      <c r="G46" s="63"/>
    </row>
    <row r="47" spans="1:7" ht="14.4" customHeight="1" x14ac:dyDescent="0.25">
      <c r="A47" t="s">
        <v>197</v>
      </c>
      <c r="B47" t="s">
        <v>194</v>
      </c>
      <c r="C47" t="s">
        <v>190</v>
      </c>
      <c r="D47" s="63" t="s">
        <v>191</v>
      </c>
      <c r="E47" s="82"/>
      <c r="G47" s="63"/>
    </row>
    <row r="48" spans="1:7" ht="14.4" customHeight="1" x14ac:dyDescent="0.25">
      <c r="A48" t="s">
        <v>198</v>
      </c>
      <c r="B48" t="s">
        <v>194</v>
      </c>
      <c r="C48" t="s">
        <v>190</v>
      </c>
      <c r="D48" s="63" t="s">
        <v>191</v>
      </c>
      <c r="E48" s="82"/>
      <c r="G48" s="63"/>
    </row>
    <row r="49" spans="1:7" ht="14.4" customHeight="1" x14ac:dyDescent="0.25">
      <c r="A49" t="s">
        <v>199</v>
      </c>
      <c r="B49" t="s">
        <v>194</v>
      </c>
      <c r="C49" t="s">
        <v>190</v>
      </c>
      <c r="D49" s="63" t="s">
        <v>191</v>
      </c>
      <c r="E49" s="82"/>
      <c r="G49" s="63"/>
    </row>
    <row r="50" spans="1:7" ht="14.4" customHeight="1" x14ac:dyDescent="0.25">
      <c r="A50" t="s">
        <v>200</v>
      </c>
      <c r="B50" t="s">
        <v>194</v>
      </c>
      <c r="C50" t="s">
        <v>190</v>
      </c>
      <c r="D50" s="63" t="s">
        <v>191</v>
      </c>
      <c r="E50" s="82"/>
      <c r="G50" s="63"/>
    </row>
    <row r="51" spans="1:7" ht="14.4" customHeight="1" x14ac:dyDescent="0.25">
      <c r="A51" t="s">
        <v>201</v>
      </c>
      <c r="B51" t="s">
        <v>194</v>
      </c>
      <c r="C51" t="s">
        <v>190</v>
      </c>
      <c r="D51" s="63" t="s">
        <v>191</v>
      </c>
      <c r="E51" s="82"/>
      <c r="G51" s="63"/>
    </row>
    <row r="52" spans="1:7" ht="14.4" customHeight="1" x14ac:dyDescent="0.25">
      <c r="A52" t="s">
        <v>202</v>
      </c>
      <c r="B52" t="s">
        <v>194</v>
      </c>
      <c r="C52" t="s">
        <v>190</v>
      </c>
      <c r="D52" s="63" t="s">
        <v>191</v>
      </c>
      <c r="E52" s="82"/>
      <c r="G52" s="63"/>
    </row>
    <row r="53" spans="1:7" ht="14.4" customHeight="1" x14ac:dyDescent="0.25">
      <c r="A53" t="s">
        <v>203</v>
      </c>
      <c r="B53" t="s">
        <v>194</v>
      </c>
      <c r="C53" t="s">
        <v>190</v>
      </c>
      <c r="D53" s="63" t="s">
        <v>191</v>
      </c>
      <c r="E53" s="82"/>
      <c r="G53" s="63"/>
    </row>
    <row r="54" spans="1:7" ht="14.4" customHeight="1" x14ac:dyDescent="0.25">
      <c r="A54" t="s">
        <v>204</v>
      </c>
      <c r="B54" t="s">
        <v>194</v>
      </c>
      <c r="C54" t="s">
        <v>190</v>
      </c>
      <c r="D54" s="63" t="s">
        <v>191</v>
      </c>
      <c r="E54" s="82"/>
      <c r="G54" s="63"/>
    </row>
    <row r="55" spans="1:7" ht="14.4" customHeight="1" x14ac:dyDescent="0.25">
      <c r="A55" t="s">
        <v>205</v>
      </c>
      <c r="B55" t="s">
        <v>194</v>
      </c>
      <c r="C55" t="s">
        <v>190</v>
      </c>
      <c r="D55" s="63" t="s">
        <v>191</v>
      </c>
      <c r="E55" s="82"/>
      <c r="G55" s="63"/>
    </row>
    <row r="56" spans="1:7" ht="14.4" customHeight="1" x14ac:dyDescent="0.25">
      <c r="D56" s="63"/>
      <c r="E56" s="82"/>
      <c r="G56" s="63"/>
    </row>
    <row r="57" spans="1:7" ht="14.4" customHeight="1" x14ac:dyDescent="0.25">
      <c r="D57" s="63"/>
      <c r="E57" s="82"/>
      <c r="G57" s="63"/>
    </row>
    <row r="58" spans="1:7" ht="14.4" customHeight="1" x14ac:dyDescent="0.25">
      <c r="D58" s="63"/>
      <c r="E58" s="82"/>
      <c r="G58" s="63"/>
    </row>
    <row r="59" spans="1:7" ht="14.4" customHeight="1" x14ac:dyDescent="0.25">
      <c r="D59" s="63"/>
      <c r="E59" s="82"/>
      <c r="G59" s="63"/>
    </row>
    <row r="60" spans="1:7" ht="14.4" customHeight="1" x14ac:dyDescent="0.25">
      <c r="D60" s="63"/>
      <c r="E60" s="82"/>
      <c r="G60" s="63"/>
    </row>
    <row r="61" spans="1:7" ht="14.4" customHeight="1" x14ac:dyDescent="0.25">
      <c r="D61" s="63"/>
      <c r="E61" s="82"/>
      <c r="G61" s="63"/>
    </row>
    <row r="62" spans="1:7" ht="14.4" customHeight="1" x14ac:dyDescent="0.25">
      <c r="D62" s="63"/>
      <c r="E62" s="82"/>
      <c r="G62" s="63"/>
    </row>
    <row r="63" spans="1:7" ht="14.4" customHeight="1" x14ac:dyDescent="0.25">
      <c r="D63" s="63"/>
      <c r="E63" s="82"/>
      <c r="G63" s="63"/>
    </row>
    <row r="64" spans="1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206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40:D40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0.726078</v>
      </c>
      <c r="C4" s="57" t="s">
        <v>36</v>
      </c>
      <c r="D4" s="86">
        <v>0.84160000000000001</v>
      </c>
      <c r="E4" s="57" t="s">
        <v>41</v>
      </c>
      <c r="F4" s="85">
        <v>1.0427999999999999</v>
      </c>
      <c r="G4" s="57" t="s">
        <v>42</v>
      </c>
      <c r="H4" s="85">
        <v>0.55463200000000001</v>
      </c>
      <c r="I4" s="57"/>
      <c r="J4" s="87"/>
    </row>
    <row r="5" spans="1:10" ht="15.75" customHeight="1" x14ac:dyDescent="0.25">
      <c r="A5" s="57" t="s">
        <v>62</v>
      </c>
      <c r="B5" s="85">
        <v>0.17180399999999998</v>
      </c>
      <c r="C5" s="57" t="s">
        <v>63</v>
      </c>
      <c r="D5" s="86">
        <v>0.83919999999999995</v>
      </c>
      <c r="E5" s="57" t="s">
        <v>64</v>
      </c>
      <c r="F5" s="86">
        <v>15.739000000000001</v>
      </c>
      <c r="G5" s="57" t="s">
        <v>65</v>
      </c>
      <c r="H5" s="85">
        <v>0.138741</v>
      </c>
      <c r="I5" s="57"/>
      <c r="J5" s="87"/>
    </row>
    <row r="6" spans="1:10" ht="15" customHeight="1" x14ac:dyDescent="0.25">
      <c r="A6" s="57" t="s">
        <v>66</v>
      </c>
      <c r="B6" s="85">
        <v>0.28115299999999999</v>
      </c>
      <c r="C6" s="57" t="s">
        <v>39</v>
      </c>
      <c r="D6" s="88">
        <v>9.4200000000000006E-2</v>
      </c>
      <c r="E6" s="57" t="s">
        <v>67</v>
      </c>
      <c r="F6" s="86">
        <v>76.1601</v>
      </c>
      <c r="G6" s="57" t="s">
        <v>45</v>
      </c>
      <c r="H6" s="85">
        <v>1.8418E-2</v>
      </c>
      <c r="I6" s="57"/>
      <c r="J6" s="87"/>
    </row>
    <row r="7" spans="1:10" ht="14.25" customHeight="1" x14ac:dyDescent="0.25">
      <c r="A7" s="57" t="s">
        <v>38</v>
      </c>
      <c r="B7" s="88">
        <v>2.3547618847831755</v>
      </c>
      <c r="C7" s="57" t="s">
        <v>68</v>
      </c>
      <c r="D7" s="88">
        <v>1.355</v>
      </c>
      <c r="E7" s="57" t="s">
        <v>69</v>
      </c>
      <c r="F7" s="86">
        <v>0.40939999999999999</v>
      </c>
      <c r="G7" s="57" t="s">
        <v>70</v>
      </c>
      <c r="H7" s="85">
        <v>4.7196999999999996E-2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8.1500000000000003E-2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20.108957159799999</v>
      </c>
      <c r="C12" s="57" t="s">
        <v>78</v>
      </c>
      <c r="D12" s="88">
        <v>20.1992379412</v>
      </c>
      <c r="E12" s="144" t="s">
        <v>79</v>
      </c>
      <c r="F12" s="117"/>
      <c r="G12" s="117"/>
      <c r="H12" s="145">
        <v>21.063717558800001</v>
      </c>
      <c r="I12" s="117"/>
      <c r="J12" s="117"/>
    </row>
    <row r="13" spans="1:10" ht="14.25" customHeight="1" x14ac:dyDescent="0.25">
      <c r="A13" s="57" t="s">
        <v>80</v>
      </c>
      <c r="B13" s="91">
        <v>1.5336886837000001</v>
      </c>
      <c r="C13" s="57" t="s">
        <v>81</v>
      </c>
      <c r="D13" s="88">
        <v>19.223395737099999</v>
      </c>
      <c r="E13" s="144" t="s">
        <v>82</v>
      </c>
      <c r="F13" s="117"/>
      <c r="G13" s="117"/>
      <c r="H13" s="145">
        <v>4.3879934951999999</v>
      </c>
      <c r="I13" s="117"/>
      <c r="J13" s="117"/>
    </row>
    <row r="14" spans="1:10" ht="14.25" customHeight="1" x14ac:dyDescent="0.25">
      <c r="A14" s="57" t="s">
        <v>83</v>
      </c>
      <c r="B14" s="91">
        <v>13.789639152499999</v>
      </c>
      <c r="C14" s="57" t="s">
        <v>84</v>
      </c>
      <c r="D14" s="88">
        <v>8.9960996025999993</v>
      </c>
      <c r="E14" s="144" t="s">
        <v>85</v>
      </c>
      <c r="F14" s="117"/>
      <c r="G14" s="117"/>
      <c r="H14" s="145">
        <v>25.451872685599998</v>
      </c>
      <c r="I14" s="117"/>
      <c r="J14" s="117"/>
    </row>
    <row r="15" spans="1:10" ht="14.25" customHeight="1" x14ac:dyDescent="0.25">
      <c r="A15" s="57" t="s">
        <v>86</v>
      </c>
      <c r="B15" s="91">
        <v>53.729752060699994</v>
      </c>
      <c r="C15" s="57" t="s">
        <v>87</v>
      </c>
      <c r="D15" s="88">
        <v>3.8759712699999997E-2</v>
      </c>
      <c r="E15" s="144" t="s">
        <v>88</v>
      </c>
      <c r="F15" s="117"/>
      <c r="G15" s="117"/>
      <c r="H15" s="145">
        <v>2.9578678650999999</v>
      </c>
      <c r="I15" s="117"/>
      <c r="J15" s="117"/>
    </row>
    <row r="16" spans="1:10" ht="14.25" customHeight="1" x14ac:dyDescent="0.25">
      <c r="A16" s="57" t="s">
        <v>89</v>
      </c>
      <c r="B16" s="91">
        <v>2.1068158853000001</v>
      </c>
      <c r="C16" s="57" t="s">
        <v>90</v>
      </c>
      <c r="D16" s="88">
        <v>1.1571669337000001</v>
      </c>
      <c r="E16" s="144" t="s">
        <v>91</v>
      </c>
      <c r="F16" s="117"/>
      <c r="G16" s="117"/>
      <c r="H16" s="145">
        <v>5.4287945884000006</v>
      </c>
      <c r="I16" s="117"/>
      <c r="J16" s="117"/>
    </row>
    <row r="17" spans="1:10" ht="14.25" customHeight="1" x14ac:dyDescent="0.25">
      <c r="A17" s="57" t="s">
        <v>92</v>
      </c>
      <c r="B17" s="91">
        <v>118.2920078325</v>
      </c>
      <c r="C17" s="57" t="s">
        <v>93</v>
      </c>
      <c r="D17" s="88">
        <v>8.8507201573999996</v>
      </c>
      <c r="E17" s="144" t="s">
        <v>94</v>
      </c>
      <c r="F17" s="117"/>
      <c r="G17" s="117"/>
      <c r="H17" s="145">
        <v>12.516810441500001</v>
      </c>
      <c r="I17" s="117"/>
      <c r="J17" s="117"/>
    </row>
    <row r="18" spans="1:10" ht="14.25" customHeight="1" x14ac:dyDescent="0.25">
      <c r="A18" s="57" t="s">
        <v>95</v>
      </c>
      <c r="B18" s="91">
        <v>239.84984128869999</v>
      </c>
      <c r="C18" s="57" t="s">
        <v>96</v>
      </c>
      <c r="D18" s="88">
        <v>2.8024684057</v>
      </c>
      <c r="E18" s="144" t="s">
        <v>97</v>
      </c>
      <c r="F18" s="117"/>
      <c r="G18" s="117"/>
      <c r="H18" s="145">
        <v>12.935062244100001</v>
      </c>
      <c r="I18" s="117"/>
      <c r="J18" s="117"/>
    </row>
    <row r="19" spans="1:10" ht="14.25" customHeight="1" x14ac:dyDescent="0.25">
      <c r="A19" s="57" t="s">
        <v>98</v>
      </c>
      <c r="B19" s="91">
        <v>21</v>
      </c>
      <c r="C19" s="57" t="s">
        <v>99</v>
      </c>
      <c r="D19" s="88">
        <v>3.0627076087000003</v>
      </c>
      <c r="E19" s="144" t="s">
        <v>100</v>
      </c>
      <c r="F19" s="117"/>
      <c r="G19" s="117"/>
      <c r="H19" s="145">
        <v>0.13214227949999999</v>
      </c>
      <c r="I19" s="117"/>
      <c r="J19" s="117"/>
    </row>
    <row r="20" spans="1:10" ht="27" customHeight="1" x14ac:dyDescent="0.25">
      <c r="A20" s="57" t="s">
        <v>101</v>
      </c>
      <c r="B20" s="91">
        <v>10.067125000000001</v>
      </c>
      <c r="C20" s="57" t="s">
        <v>43</v>
      </c>
      <c r="D20" s="88">
        <v>2.435901098</v>
      </c>
      <c r="E20" s="144" t="s">
        <v>102</v>
      </c>
      <c r="F20" s="117"/>
      <c r="G20" s="117"/>
      <c r="H20" s="145">
        <v>0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54</v>
      </c>
      <c r="I21" s="117"/>
      <c r="J21" s="117"/>
    </row>
    <row r="22" spans="1:10" ht="14.25" customHeight="1" x14ac:dyDescent="0.25">
      <c r="A22" s="57" t="s">
        <v>105</v>
      </c>
      <c r="B22" s="91">
        <v>102.436875</v>
      </c>
      <c r="C22" s="57"/>
      <c r="D22" s="92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57" t="s">
        <v>107</v>
      </c>
      <c r="B23" s="91">
        <v>20</v>
      </c>
      <c r="C23" s="57"/>
      <c r="D23" s="92"/>
      <c r="E23" s="144" t="s">
        <v>108</v>
      </c>
      <c r="F23" s="117"/>
      <c r="G23" s="117"/>
      <c r="H23" s="145">
        <v>75.575000000000003</v>
      </c>
      <c r="I23" s="117"/>
      <c r="J23" s="117"/>
    </row>
    <row r="24" spans="1:10" ht="14.25" customHeight="1" x14ac:dyDescent="0.25">
      <c r="A24" s="57" t="s">
        <v>109</v>
      </c>
      <c r="B24" s="91">
        <v>174.14981131099998</v>
      </c>
      <c r="C24" s="93"/>
      <c r="D24" s="90"/>
      <c r="E24" s="144" t="s">
        <v>110</v>
      </c>
      <c r="F24" s="117"/>
      <c r="G24" s="117"/>
      <c r="H24" s="145">
        <v>73.927465329900002</v>
      </c>
      <c r="I24" s="117"/>
      <c r="J24" s="117"/>
    </row>
    <row r="25" spans="1:10" ht="14.25" customHeight="1" x14ac:dyDescent="0.25">
      <c r="A25" s="57" t="s">
        <v>111</v>
      </c>
      <c r="B25" s="91">
        <v>65.700029977699998</v>
      </c>
      <c r="C25" s="93"/>
      <c r="D25" s="90"/>
      <c r="E25" s="144" t="s">
        <v>112</v>
      </c>
      <c r="F25" s="117"/>
      <c r="G25" s="117"/>
      <c r="H25" s="145">
        <v>85.184132718000001</v>
      </c>
      <c r="I25" s="117"/>
      <c r="J25" s="117"/>
    </row>
    <row r="26" spans="1:10" ht="14.25" customHeight="1" x14ac:dyDescent="0.25">
      <c r="A26" s="94" t="s">
        <v>113</v>
      </c>
      <c r="B26" s="91">
        <v>239.84984128869999</v>
      </c>
      <c r="C26" s="93"/>
      <c r="D26" s="90"/>
      <c r="E26" s="144" t="s">
        <v>114</v>
      </c>
      <c r="F26" s="117"/>
      <c r="G26" s="117"/>
      <c r="H26" s="145">
        <v>-9.6091327179999997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207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219</v>
      </c>
      <c r="C2" s="43" t="s">
        <v>208</v>
      </c>
      <c r="D2" s="43" t="s">
        <v>257</v>
      </c>
      <c r="E2" s="43" t="s">
        <v>258</v>
      </c>
      <c r="F2" s="43" t="s">
        <v>259</v>
      </c>
      <c r="G2" s="43" t="s">
        <v>260</v>
      </c>
      <c r="H2" s="43" t="s">
        <v>261</v>
      </c>
      <c r="I2" s="43" t="s">
        <v>262</v>
      </c>
      <c r="J2" s="43" t="s">
        <v>263</v>
      </c>
    </row>
    <row r="3" spans="1:10" x14ac:dyDescent="0.25">
      <c r="A3" s="54" t="s">
        <v>24</v>
      </c>
      <c r="B3" s="96" t="s">
        <v>25</v>
      </c>
      <c r="C3" s="97" t="s">
        <v>209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250</v>
      </c>
      <c r="C4" s="97" t="s">
        <v>209</v>
      </c>
      <c r="D4" s="98" t="s">
        <v>250</v>
      </c>
      <c r="E4" s="98" t="s">
        <v>250</v>
      </c>
      <c r="F4" s="98" t="s">
        <v>250</v>
      </c>
      <c r="G4" s="98" t="s">
        <v>250</v>
      </c>
      <c r="H4" s="98" t="s">
        <v>250</v>
      </c>
      <c r="I4" s="98" t="s">
        <v>250</v>
      </c>
      <c r="J4" s="98" t="s">
        <v>250</v>
      </c>
    </row>
    <row r="5" spans="1:10" s="7" customFormat="1" x14ac:dyDescent="0.25">
      <c r="A5" s="9" t="s">
        <v>29</v>
      </c>
      <c r="B5" s="99" t="s">
        <v>30</v>
      </c>
      <c r="C5" s="97" t="s">
        <v>209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239.84984128869999</v>
      </c>
      <c r="C6" s="97">
        <v>586.1605456209287</v>
      </c>
      <c r="D6" s="100">
        <v>142.34439244180001</v>
      </c>
      <c r="E6" s="100">
        <v>987.64705122249995</v>
      </c>
      <c r="F6" s="100">
        <v>560.45141880410006</v>
      </c>
      <c r="G6" s="100">
        <v>262.88436151680003</v>
      </c>
      <c r="H6" s="100">
        <v>229.980265164</v>
      </c>
      <c r="I6" s="100">
        <v>1128.0853706737</v>
      </c>
      <c r="J6" s="100">
        <v>791.73095952359995</v>
      </c>
    </row>
    <row r="7" spans="1:10" x14ac:dyDescent="0.25">
      <c r="A7" s="54" t="s">
        <v>34</v>
      </c>
      <c r="B7" s="44">
        <v>0.726078</v>
      </c>
      <c r="C7" s="97">
        <v>0.63029500000000005</v>
      </c>
      <c r="D7" s="44">
        <v>0.644652</v>
      </c>
      <c r="E7" s="44">
        <v>0.79210800000000003</v>
      </c>
      <c r="F7" s="44">
        <v>0.49618600000000002</v>
      </c>
      <c r="G7" s="44">
        <v>0.47631000000000001</v>
      </c>
      <c r="H7" s="44">
        <v>0.61497400000000002</v>
      </c>
      <c r="I7" s="44">
        <v>0.80970200000000003</v>
      </c>
      <c r="J7" s="44">
        <v>0.57813300000000001</v>
      </c>
    </row>
    <row r="8" spans="1:10" x14ac:dyDescent="0.25">
      <c r="A8" s="54" t="s">
        <v>36</v>
      </c>
      <c r="B8" s="100">
        <v>0.84160000000000001</v>
      </c>
      <c r="C8" s="97">
        <v>1.2372428571428571</v>
      </c>
      <c r="D8" s="100">
        <v>0.85619999999999996</v>
      </c>
      <c r="E8" s="100">
        <v>0.69910000000000005</v>
      </c>
      <c r="F8" s="100">
        <v>1.2819</v>
      </c>
      <c r="G8" s="100">
        <v>1.3633999999999999</v>
      </c>
      <c r="H8" s="100">
        <v>0.87329999999999997</v>
      </c>
      <c r="I8" s="100">
        <v>1.0604</v>
      </c>
      <c r="J8" s="100">
        <v>2.5264000000000002</v>
      </c>
    </row>
    <row r="9" spans="1:10" x14ac:dyDescent="0.25">
      <c r="A9" s="54" t="s">
        <v>38</v>
      </c>
      <c r="B9" s="96">
        <v>2.3547618847831755</v>
      </c>
      <c r="C9" s="97">
        <v>1.4231327159230929</v>
      </c>
      <c r="D9" s="96">
        <v>1.7042059794514939</v>
      </c>
      <c r="E9" s="96">
        <v>3.0647945580385691</v>
      </c>
      <c r="F9" s="96">
        <v>0.37236058464116234</v>
      </c>
      <c r="G9" s="96">
        <v>0.22551757558183552</v>
      </c>
      <c r="H9" s="96">
        <v>1.0957079521670761</v>
      </c>
      <c r="I9" s="96">
        <v>2.6352082550570466</v>
      </c>
      <c r="J9" s="96">
        <v>0.86413410652446754</v>
      </c>
    </row>
    <row r="10" spans="1:10" ht="21.6" customHeight="1" x14ac:dyDescent="0.25">
      <c r="A10" s="54" t="s">
        <v>39</v>
      </c>
      <c r="B10" s="100">
        <v>9.4200000000000006E-2</v>
      </c>
      <c r="C10" s="97">
        <v>7.9485714285714285E-2</v>
      </c>
      <c r="D10" s="100">
        <v>0.18410000000000001</v>
      </c>
      <c r="E10" s="100">
        <v>3.09E-2</v>
      </c>
      <c r="F10" s="100">
        <v>-1.5800000000000002E-2</v>
      </c>
      <c r="G10" s="100">
        <v>0.1242</v>
      </c>
      <c r="H10" s="100">
        <v>0.15890000000000001</v>
      </c>
      <c r="I10" s="100">
        <v>3.9300000000000002E-2</v>
      </c>
      <c r="J10" s="100">
        <v>3.4799999999999998E-2</v>
      </c>
    </row>
    <row r="11" spans="1:10" x14ac:dyDescent="0.25">
      <c r="A11" s="54" t="s">
        <v>40</v>
      </c>
      <c r="B11" s="100">
        <v>20.1992379412</v>
      </c>
      <c r="C11" s="97">
        <v>53.01191336081429</v>
      </c>
      <c r="D11" s="100">
        <v>19.3154716186</v>
      </c>
      <c r="E11" s="100">
        <v>36.4912776209</v>
      </c>
      <c r="F11" s="100">
        <v>37.790707419699999</v>
      </c>
      <c r="G11" s="100">
        <v>22.047921561300001</v>
      </c>
      <c r="H11" s="100">
        <v>105.92858420250001</v>
      </c>
      <c r="I11" s="100">
        <v>61.093135398999998</v>
      </c>
      <c r="J11" s="100">
        <v>88.416295703700015</v>
      </c>
    </row>
    <row r="12" spans="1:10" s="7" customFormat="1" x14ac:dyDescent="0.25">
      <c r="A12" s="9" t="s">
        <v>41</v>
      </c>
      <c r="B12" s="45">
        <v>1.0427999999999999</v>
      </c>
      <c r="C12" s="97">
        <v>0.95765714285714287</v>
      </c>
      <c r="D12" s="45">
        <v>1.0053000000000001</v>
      </c>
      <c r="E12" s="45">
        <v>1.0373000000000001</v>
      </c>
      <c r="F12" s="45">
        <v>0.60709999999999997</v>
      </c>
      <c r="G12" s="45">
        <v>0.98159999999999992</v>
      </c>
      <c r="H12" s="45">
        <v>1.0996999999999999</v>
      </c>
      <c r="I12" s="45">
        <v>1.0132000000000001</v>
      </c>
      <c r="J12" s="45">
        <v>0.95940000000000003</v>
      </c>
    </row>
    <row r="13" spans="1:10" s="7" customFormat="1" x14ac:dyDescent="0.25">
      <c r="A13" s="9" t="s">
        <v>42</v>
      </c>
      <c r="B13" s="45">
        <v>0.55463200000000001</v>
      </c>
      <c r="C13" s="97">
        <v>0.29765728571428568</v>
      </c>
      <c r="D13" s="45">
        <v>0.58741699999999997</v>
      </c>
      <c r="E13" s="45">
        <v>0.39834000000000003</v>
      </c>
      <c r="F13" s="45">
        <v>0.39391300000000001</v>
      </c>
      <c r="G13" s="45">
        <v>-0.14046</v>
      </c>
      <c r="H13" s="45">
        <v>0.14844299999999999</v>
      </c>
      <c r="I13" s="45">
        <v>0.66202399999999995</v>
      </c>
      <c r="J13" s="45">
        <v>3.3923999999999996E-2</v>
      </c>
    </row>
    <row r="14" spans="1:10" s="7" customFormat="1" x14ac:dyDescent="0.25">
      <c r="A14" s="9" t="s">
        <v>43</v>
      </c>
      <c r="B14" s="101">
        <v>2.435901098</v>
      </c>
      <c r="C14" s="97">
        <v>3.8587836390857144</v>
      </c>
      <c r="D14" s="101">
        <v>7.0249498097999998</v>
      </c>
      <c r="E14" s="101">
        <v>0.39842455859999998</v>
      </c>
      <c r="F14" s="101">
        <v>-8.6735462771999998</v>
      </c>
      <c r="G14" s="101">
        <v>7.0467217916999996</v>
      </c>
      <c r="H14" s="101">
        <v>8.4628038701000001</v>
      </c>
      <c r="I14" s="101">
        <v>2.4515049319000002</v>
      </c>
      <c r="J14" s="101">
        <v>10.300626788700001</v>
      </c>
    </row>
    <row r="15" spans="1:10" x14ac:dyDescent="0.25">
      <c r="A15" s="54" t="s">
        <v>45</v>
      </c>
      <c r="B15" s="44">
        <v>1.8418E-2</v>
      </c>
      <c r="C15" s="97">
        <v>3.4559714285714291E-2</v>
      </c>
      <c r="D15" s="44">
        <v>9.5623E-2</v>
      </c>
      <c r="E15" s="44">
        <v>1.4860000000000001E-3</v>
      </c>
      <c r="F15" s="44">
        <v>-4.2729999999999997E-2</v>
      </c>
      <c r="G15" s="44">
        <v>3.422E-2</v>
      </c>
      <c r="H15" s="44">
        <v>0.106389</v>
      </c>
      <c r="I15" s="44">
        <v>1.1859999999999999E-2</v>
      </c>
      <c r="J15" s="44">
        <v>3.5070000000000004E-2</v>
      </c>
    </row>
    <row r="16" spans="1:10" s="7" customFormat="1" ht="25.8" customHeight="1" x14ac:dyDescent="0.25">
      <c r="A16" s="9" t="s">
        <v>46</v>
      </c>
      <c r="B16" s="101">
        <v>12.935062244100001</v>
      </c>
      <c r="C16" s="97">
        <v>16.073592413842857</v>
      </c>
      <c r="D16" s="101">
        <v>13.7318524789</v>
      </c>
      <c r="E16" s="101">
        <v>43.723559191699998</v>
      </c>
      <c r="F16" s="101">
        <v>8.5726873089999991</v>
      </c>
      <c r="G16" s="101">
        <v>13.017348266300001</v>
      </c>
      <c r="H16" s="101">
        <v>6.4151739949</v>
      </c>
      <c r="I16" s="101">
        <v>19.6132887037</v>
      </c>
      <c r="J16" s="101">
        <v>7.4412369523999997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210</v>
      </c>
      <c r="B1" s="121"/>
      <c r="C1" s="121"/>
      <c r="D1" s="121"/>
      <c r="E1" s="121"/>
      <c r="F1" s="121"/>
    </row>
    <row r="2" spans="1:6" x14ac:dyDescent="0.25">
      <c r="A2" s="51" t="s">
        <v>211</v>
      </c>
      <c r="B2" s="50" t="s">
        <v>212</v>
      </c>
      <c r="C2" s="50" t="s">
        <v>213</v>
      </c>
      <c r="D2" s="50" t="s">
        <v>214</v>
      </c>
      <c r="E2" s="50" t="s">
        <v>188</v>
      </c>
      <c r="F2" s="50" t="s">
        <v>215</v>
      </c>
    </row>
    <row r="3" spans="1:6" ht="48" customHeight="1" x14ac:dyDescent="0.25">
      <c r="A3" s="103">
        <v>43452</v>
      </c>
      <c r="B3" s="52" t="s">
        <v>216</v>
      </c>
      <c r="C3" s="104" t="s">
        <v>217</v>
      </c>
      <c r="D3" s="104"/>
      <c r="E3" s="52" t="s">
        <v>191</v>
      </c>
      <c r="F3" s="104" t="s">
        <v>218</v>
      </c>
    </row>
    <row r="4" spans="1:6" ht="49.5" customHeight="1" x14ac:dyDescent="0.25">
      <c r="A4" s="103">
        <v>43276</v>
      </c>
      <c r="B4" s="52" t="s">
        <v>219</v>
      </c>
      <c r="C4" s="104" t="s">
        <v>220</v>
      </c>
      <c r="D4" s="104"/>
      <c r="E4" s="52" t="s">
        <v>191</v>
      </c>
      <c r="F4" s="104" t="s">
        <v>221</v>
      </c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0" spans="1:6" x14ac:dyDescent="0.25">
      <c r="A20" s="140" t="s">
        <v>222</v>
      </c>
      <c r="B20" s="140"/>
      <c r="C20" s="140"/>
      <c r="D20" s="140"/>
      <c r="E20" s="140"/>
      <c r="F20" s="140"/>
    </row>
    <row r="21" spans="1:6" x14ac:dyDescent="0.25">
      <c r="A21" s="83" t="s">
        <v>211</v>
      </c>
      <c r="B21" s="83" t="s">
        <v>212</v>
      </c>
      <c r="C21" s="83" t="s">
        <v>223</v>
      </c>
      <c r="D21" s="83" t="s">
        <v>224</v>
      </c>
      <c r="E21" s="83" t="s">
        <v>188</v>
      </c>
      <c r="F21" s="83" t="s">
        <v>215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226</v>
      </c>
      <c r="B2" s="55" t="s">
        <v>227</v>
      </c>
      <c r="C2" s="55" t="s">
        <v>228</v>
      </c>
      <c r="D2" s="55" t="s">
        <v>229</v>
      </c>
      <c r="E2" s="55" t="s">
        <v>230</v>
      </c>
      <c r="F2" s="55" t="s">
        <v>231</v>
      </c>
      <c r="G2" s="55" t="s">
        <v>232</v>
      </c>
      <c r="H2" s="55" t="s">
        <v>16</v>
      </c>
      <c r="I2" s="55" t="s">
        <v>233</v>
      </c>
      <c r="J2" s="55" t="s">
        <v>234</v>
      </c>
      <c r="K2" s="55" t="s">
        <v>235</v>
      </c>
      <c r="L2" s="55" t="s">
        <v>236</v>
      </c>
      <c r="M2" s="55" t="s">
        <v>19</v>
      </c>
      <c r="N2" s="55" t="s">
        <v>237</v>
      </c>
      <c r="O2" s="3"/>
      <c r="P2" s="107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8" t="str">
        <f>[1]!b_info_name(L3)</f>
        <v>19晋交投SCP002</v>
      </c>
      <c r="B3" s="2" t="str">
        <f>[1]!b_issue_firstissue(L3)</f>
        <v>2019-04-15</v>
      </c>
      <c r="C3" s="108">
        <f>[1]!b_info_term(L3)</f>
        <v>0.49859999999999999</v>
      </c>
      <c r="D3" s="109" t="str">
        <f>[1]!issuerrating(L3)</f>
        <v>AA+</v>
      </c>
      <c r="E3" s="109" t="str">
        <f>[1]!b_info_creditrating(L3)</f>
        <v>-</v>
      </c>
      <c r="F3" s="108" t="str">
        <f>[1]!b_rate_creditratingagency(L3)</f>
        <v>联合资信评估有限公司</v>
      </c>
      <c r="G3" s="110">
        <f>[1]!b_agency_guarantor(L3)</f>
        <v>0</v>
      </c>
      <c r="H3" s="111" t="s">
        <v>238</v>
      </c>
      <c r="I3" s="65"/>
      <c r="J3" s="112" t="s">
        <v>238</v>
      </c>
      <c r="K3" s="113"/>
      <c r="L3" s="41" t="str">
        <f>公式页!A2</f>
        <v>d19041217.IB</v>
      </c>
      <c r="M3" s="111" t="s">
        <v>238</v>
      </c>
      <c r="N3" s="108" t="str">
        <f>[1]!b_agency_leadunderwriter(L3)</f>
        <v>中国光大银行股份有限公司</v>
      </c>
      <c r="P3" s="106" t="str">
        <f t="shared" ref="P3:P29" ca="1" si="0">$P$2</f>
        <v>2019-04-11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3.6621999999999999</v>
      </c>
      <c r="K4" s="113">
        <f>K3</f>
        <v>0</v>
      </c>
      <c r="L4" s="4" t="s">
        <v>239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2019-04-11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2019-04-11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2019-04-11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2019-04-11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2019-04-11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2019-04-11</v>
      </c>
    </row>
    <row r="10" spans="1:18" x14ac:dyDescent="0.25">
      <c r="P10" s="106" t="str">
        <f t="shared" ca="1" si="0"/>
        <v>2019-04-11</v>
      </c>
    </row>
    <row r="11" spans="1:18" x14ac:dyDescent="0.25">
      <c r="P11" s="106" t="str">
        <f t="shared" ca="1" si="0"/>
        <v>2019-04-11</v>
      </c>
    </row>
    <row r="12" spans="1:18" x14ac:dyDescent="0.25">
      <c r="A12" s="147" t="s">
        <v>240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2019-04-11</v>
      </c>
    </row>
    <row r="13" spans="1:18" s="1" customFormat="1" ht="43.2" customHeight="1" x14ac:dyDescent="0.25">
      <c r="A13" s="55" t="s">
        <v>226</v>
      </c>
      <c r="B13" s="55" t="s">
        <v>227</v>
      </c>
      <c r="C13" s="55" t="s">
        <v>228</v>
      </c>
      <c r="D13" s="55" t="s">
        <v>229</v>
      </c>
      <c r="E13" s="55" t="s">
        <v>230</v>
      </c>
      <c r="F13" s="55" t="s">
        <v>231</v>
      </c>
      <c r="G13" s="55" t="s">
        <v>232</v>
      </c>
      <c r="H13" s="55" t="s">
        <v>16</v>
      </c>
      <c r="I13" s="55" t="s">
        <v>233</v>
      </c>
      <c r="J13" s="55" t="s">
        <v>234</v>
      </c>
      <c r="K13" s="55" t="s">
        <v>235</v>
      </c>
      <c r="L13" s="55" t="s">
        <v>236</v>
      </c>
      <c r="M13" s="55" t="s">
        <v>19</v>
      </c>
      <c r="N13" s="55" t="s">
        <v>237</v>
      </c>
      <c r="P13" s="106" t="str">
        <f t="shared" ca="1" si="0"/>
        <v>2019-04-11</v>
      </c>
    </row>
    <row r="14" spans="1:18" ht="15.75" customHeight="1" x14ac:dyDescent="0.25">
      <c r="A14" s="108" t="str">
        <f>[1]!b_info_name(L14)</f>
        <v>19晋交投SCP002</v>
      </c>
      <c r="B14" s="2" t="str">
        <f>[1]!b_issue_firstissue(L14)</f>
        <v>2019-04-15</v>
      </c>
      <c r="C14" s="108">
        <f>[1]!b_info_term(L14)</f>
        <v>0.49859999999999999</v>
      </c>
      <c r="D14" s="109" t="str">
        <f>[1]!issuerrating(L14)</f>
        <v>AA+</v>
      </c>
      <c r="E14" s="109" t="str">
        <f>[1]!b_info_creditrating(L14)</f>
        <v>-</v>
      </c>
      <c r="F14" s="108" t="str">
        <f>[1]!b_rate_creditratingagency(L14)</f>
        <v>联合资信评估有限公司</v>
      </c>
      <c r="G14" s="110">
        <f>[1]!b_agency_guarantor(L14)</f>
        <v>0</v>
      </c>
      <c r="H14" s="111" t="s">
        <v>238</v>
      </c>
      <c r="I14" s="65"/>
      <c r="J14" s="112" t="s">
        <v>238</v>
      </c>
      <c r="K14" s="113">
        <f>K3</f>
        <v>0</v>
      </c>
      <c r="L14" s="42" t="str">
        <f>L3</f>
        <v>d19041217.IB</v>
      </c>
      <c r="M14" s="111" t="s">
        <v>238</v>
      </c>
      <c r="N14" s="108" t="str">
        <f>[1]!b_agency_leadunderwriter(L14)</f>
        <v>中国光大银行股份有限公司</v>
      </c>
      <c r="P14" s="106" t="str">
        <f t="shared" ca="1" si="0"/>
        <v>2019-04-11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241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2019-04-11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242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2019-04-11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243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2019-04-11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244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2019-04-11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245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2019-04-11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246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2019-04-11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247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2019-04-11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248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2019-04-11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249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2019-04-11</v>
      </c>
    </row>
    <row r="24" spans="1:16" x14ac:dyDescent="0.25">
      <c r="P24" s="106" t="str">
        <f t="shared" ca="1" si="0"/>
        <v>2019-04-11</v>
      </c>
    </row>
    <row r="25" spans="1:16" x14ac:dyDescent="0.25">
      <c r="P25" s="106" t="str">
        <f t="shared" ca="1" si="0"/>
        <v>2019-04-11</v>
      </c>
    </row>
    <row r="26" spans="1:16" x14ac:dyDescent="0.25">
      <c r="P26" s="106" t="str">
        <f t="shared" ca="1" si="0"/>
        <v>2019-04-11</v>
      </c>
    </row>
    <row r="27" spans="1:16" x14ac:dyDescent="0.25">
      <c r="P27" s="106" t="str">
        <f t="shared" ca="1" si="0"/>
        <v>2019-04-11</v>
      </c>
    </row>
    <row r="28" spans="1:16" x14ac:dyDescent="0.25">
      <c r="P28" s="106" t="str">
        <f t="shared" ca="1" si="0"/>
        <v>2019-04-11</v>
      </c>
    </row>
    <row r="29" spans="1:16" x14ac:dyDescent="0.25">
      <c r="P29" s="106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2019-04-12T08:16:37Z</dcterms:modified>
</cp:coreProperties>
</file>