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3056EE11-D3F2-437D-910F-D2813B25853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0" i="1"/>
  <c r="S138" i="1"/>
  <c r="S136" i="1"/>
  <c r="M135" i="1"/>
  <c r="S133" i="1"/>
  <c r="O132" i="1"/>
  <c r="M131" i="1"/>
  <c r="O130" i="1"/>
  <c r="S129" i="1"/>
  <c r="M127" i="1"/>
  <c r="S112" i="1"/>
  <c r="F111" i="1"/>
  <c r="M110" i="1"/>
  <c r="F109" i="1"/>
  <c r="H23" i="6"/>
  <c r="E22" i="6"/>
  <c r="M21" i="6"/>
  <c r="B21" i="6"/>
  <c r="G20" i="6"/>
  <c r="O19" i="6"/>
  <c r="D19" i="6"/>
  <c r="A18" i="6"/>
  <c r="F17" i="6"/>
  <c r="N16" i="6"/>
  <c r="C16" i="6"/>
  <c r="H15" i="6"/>
  <c r="C14" i="6"/>
  <c r="N9" i="6"/>
  <c r="E9" i="6"/>
  <c r="B8" i="6"/>
  <c r="G7" i="6"/>
  <c r="N6" i="6"/>
  <c r="G6" i="6"/>
  <c r="N5" i="6"/>
  <c r="E5" i="6"/>
  <c r="B4" i="6"/>
  <c r="D3" i="6"/>
  <c r="M140" i="1"/>
  <c r="M138" i="1"/>
  <c r="M136" i="1"/>
  <c r="S134" i="1"/>
  <c r="O133" i="1"/>
  <c r="M132" i="1"/>
  <c r="M130" i="1"/>
  <c r="O129" i="1"/>
  <c r="S128" i="1"/>
  <c r="S111" i="1"/>
  <c r="D111" i="1"/>
  <c r="M22" i="6"/>
  <c r="G21" i="6"/>
  <c r="D20" i="6"/>
  <c r="A19" i="6"/>
  <c r="N17" i="6"/>
  <c r="H16" i="6"/>
  <c r="E15" i="6"/>
  <c r="D9" i="6"/>
  <c r="F8" i="6"/>
  <c r="F7" i="6"/>
  <c r="D6" i="6"/>
  <c r="D5" i="6"/>
  <c r="F4" i="6"/>
  <c r="Q2" i="6"/>
  <c r="M139" i="1"/>
  <c r="O135" i="1"/>
  <c r="S132" i="1"/>
  <c r="S130" i="1"/>
  <c r="O127" i="1"/>
  <c r="F113" i="1"/>
  <c r="D110"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O23" i="6"/>
  <c r="F21" i="6"/>
  <c r="C20" i="6"/>
  <c r="M17" i="6"/>
  <c r="G16" i="6"/>
  <c r="D15" i="6"/>
  <c r="A9" i="6"/>
  <c r="A8" i="6"/>
  <c r="C7" i="6"/>
  <c r="C6" i="6"/>
  <c r="A5" i="6"/>
  <c r="A4" i="6"/>
  <c r="S141" i="1"/>
  <c r="S137" i="1"/>
  <c r="O134" i="1"/>
  <c r="S131" i="1"/>
  <c r="O128" i="1"/>
  <c r="M121" i="1"/>
  <c r="M119" i="1"/>
  <c r="M117" i="1"/>
  <c r="F112" i="1"/>
  <c r="S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E23" i="6"/>
  <c r="B22" i="6"/>
  <c r="O20" i="6"/>
  <c r="F18" i="6"/>
  <c r="C17" i="6"/>
  <c r="M7" i="6"/>
  <c r="M6" i="6"/>
  <c r="D23" i="6"/>
  <c r="E18" i="6"/>
  <c r="G14" i="6"/>
  <c r="C3" i="6"/>
  <c r="M137" i="1"/>
  <c r="O131" i="1"/>
  <c r="M128" i="1"/>
  <c r="M123" i="1"/>
  <c r="D112" i="1"/>
  <c r="M109" i="1"/>
  <c r="P103" i="1"/>
  <c r="E102" i="1"/>
  <c r="N101" i="1"/>
  <c r="C101" i="1"/>
  <c r="L100" i="1"/>
  <c r="R99" i="1"/>
  <c r="G99" i="1"/>
  <c r="P98" i="1"/>
  <c r="E98" i="1"/>
  <c r="N97" i="1"/>
  <c r="C97" i="1"/>
  <c r="L96" i="1"/>
  <c r="G95" i="1"/>
  <c r="E94" i="1"/>
  <c r="C93" i="1"/>
  <c r="G91" i="1"/>
  <c r="E90" i="1"/>
  <c r="C89" i="1"/>
  <c r="G87" i="1"/>
  <c r="E86" i="1"/>
  <c r="C85" i="1"/>
  <c r="G83"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D44" i="1"/>
  <c r="E43" i="1"/>
  <c r="E42" i="1"/>
  <c r="F41" i="1"/>
  <c r="G40" i="1"/>
  <c r="G39" i="1"/>
  <c r="B39" i="1"/>
  <c r="C38" i="1"/>
  <c r="C37" i="1"/>
  <c r="D36" i="1"/>
  <c r="E35" i="1"/>
  <c r="E34" i="1"/>
  <c r="F33" i="1"/>
  <c r="G32" i="1"/>
  <c r="G31" i="1"/>
  <c r="B31" i="1"/>
  <c r="C30" i="1"/>
  <c r="N29" i="1"/>
  <c r="F29" i="1"/>
  <c r="R28" i="1"/>
  <c r="L28" i="1"/>
  <c r="D28" i="1"/>
  <c r="P27" i="1"/>
  <c r="G27" i="1"/>
  <c r="B27" i="1"/>
  <c r="N26" i="1"/>
  <c r="E26" i="1"/>
  <c r="Q25" i="1"/>
  <c r="L25" i="1"/>
  <c r="C25" i="1"/>
  <c r="O24" i="1"/>
  <c r="G24" i="1"/>
  <c r="R23" i="1"/>
  <c r="M23" i="1"/>
  <c r="E23" i="1"/>
  <c r="C22" i="1"/>
  <c r="N21" i="1"/>
  <c r="F21" i="1"/>
  <c r="R20" i="1"/>
  <c r="L20" i="1"/>
  <c r="D20" i="1"/>
  <c r="P19" i="1"/>
  <c r="G19" i="1"/>
  <c r="B19" i="1"/>
  <c r="C18" i="1"/>
  <c r="N17" i="1"/>
  <c r="F17" i="1"/>
  <c r="J16" i="1"/>
  <c r="B16" i="1"/>
  <c r="N15" i="1"/>
  <c r="F15" i="1"/>
  <c r="F14" i="1"/>
  <c r="F11" i="1"/>
  <c r="B9" i="1"/>
  <c r="E5" i="1"/>
  <c r="B95" i="1"/>
  <c r="D88" i="1"/>
  <c r="F85" i="1"/>
  <c r="B83" i="1"/>
  <c r="D80" i="1"/>
  <c r="F77" i="1"/>
  <c r="B75" i="1"/>
  <c r="D72" i="1"/>
  <c r="F69" i="1"/>
  <c r="B67" i="1"/>
  <c r="D64" i="1"/>
  <c r="F61" i="1"/>
  <c r="B59" i="1"/>
  <c r="D56" i="1"/>
  <c r="F53" i="1"/>
  <c r="B51" i="1"/>
  <c r="D48" i="1"/>
  <c r="F45" i="1"/>
  <c r="F43" i="1"/>
  <c r="G41" i="1"/>
  <c r="A22" i="6"/>
  <c r="B17" i="6"/>
  <c r="S135" i="1"/>
  <c r="S127" i="1"/>
  <c r="M118" i="1"/>
  <c r="M111" i="1"/>
  <c r="O103" i="1"/>
  <c r="D102" i="1"/>
  <c r="M101" i="1"/>
  <c r="B101" i="1"/>
  <c r="J100" i="1"/>
  <c r="Q99" i="1"/>
  <c r="F99" i="1"/>
  <c r="O98" i="1"/>
  <c r="D98" i="1"/>
  <c r="M97" i="1"/>
  <c r="B97" i="1"/>
  <c r="J96" i="1"/>
  <c r="F95" i="1"/>
  <c r="D94" i="1"/>
  <c r="B93" i="1"/>
  <c r="F91" i="1"/>
  <c r="D90" i="1"/>
  <c r="B89" i="1"/>
  <c r="F87" i="1"/>
  <c r="D86" i="1"/>
  <c r="B85" i="1"/>
  <c r="F83" i="1"/>
  <c r="D82" i="1"/>
  <c r="B81" i="1"/>
  <c r="F79" i="1"/>
  <c r="D78" i="1"/>
  <c r="B77" i="1"/>
  <c r="F75" i="1"/>
  <c r="D74" i="1"/>
  <c r="B73" i="1"/>
  <c r="F71" i="1"/>
  <c r="D70" i="1"/>
  <c r="B69" i="1"/>
  <c r="F67" i="1"/>
  <c r="D66" i="1"/>
  <c r="B65" i="1"/>
  <c r="F63" i="1"/>
  <c r="D62" i="1"/>
  <c r="B61" i="1"/>
  <c r="F59" i="1"/>
  <c r="D58" i="1"/>
  <c r="B57" i="1"/>
  <c r="F55" i="1"/>
  <c r="D54" i="1"/>
  <c r="B53" i="1"/>
  <c r="F51" i="1"/>
  <c r="D50" i="1"/>
  <c r="B49" i="1"/>
  <c r="F47" i="1"/>
  <c r="D46" i="1"/>
  <c r="B45" i="1"/>
  <c r="C44" i="1"/>
  <c r="C43" i="1"/>
  <c r="D42" i="1"/>
  <c r="E41" i="1"/>
  <c r="E40" i="1"/>
  <c r="F39" i="1"/>
  <c r="G38" i="1"/>
  <c r="G37" i="1"/>
  <c r="B37" i="1"/>
  <c r="C36" i="1"/>
  <c r="C35" i="1"/>
  <c r="D34" i="1"/>
  <c r="E33" i="1"/>
  <c r="E32" i="1"/>
  <c r="F31" i="1"/>
  <c r="G30" i="1"/>
  <c r="R29" i="1"/>
  <c r="M29" i="1"/>
  <c r="E29" i="1"/>
  <c r="P28" i="1"/>
  <c r="J28" i="1"/>
  <c r="C28" i="1"/>
  <c r="N27" i="1"/>
  <c r="F27" i="1"/>
  <c r="R26" i="1"/>
  <c r="L26" i="1"/>
  <c r="D26" i="1"/>
  <c r="P25" i="1"/>
  <c r="G25" i="1"/>
  <c r="B25" i="1"/>
  <c r="N24" i="1"/>
  <c r="E24" i="1"/>
  <c r="Q23" i="1"/>
  <c r="L23" i="1"/>
  <c r="C23" i="1"/>
  <c r="G22" i="1"/>
  <c r="R21" i="1"/>
  <c r="M21" i="1"/>
  <c r="E21" i="1"/>
  <c r="P20" i="1"/>
  <c r="J20" i="1"/>
  <c r="C20" i="1"/>
  <c r="N19" i="1"/>
  <c r="F19" i="1"/>
  <c r="G18" i="1"/>
  <c r="R17" i="1"/>
  <c r="M17" i="1"/>
  <c r="E17" i="1"/>
  <c r="F16" i="1"/>
  <c r="R15" i="1"/>
  <c r="M15" i="1"/>
  <c r="D15" i="1"/>
  <c r="E14" i="1"/>
  <c r="B11" i="1"/>
  <c r="B8" i="1"/>
  <c r="B5" i="1"/>
  <c r="N20" i="6"/>
  <c r="O15" i="6"/>
  <c r="M141" i="1"/>
  <c r="M134" i="1"/>
  <c r="S110"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G44" i="1"/>
  <c r="G43" i="1"/>
  <c r="B43" i="1"/>
  <c r="C42" i="1"/>
  <c r="C41" i="1"/>
  <c r="D40" i="1"/>
  <c r="E39" i="1"/>
  <c r="E38" i="1"/>
  <c r="F37" i="1"/>
  <c r="G36" i="1"/>
  <c r="G35" i="1"/>
  <c r="B35" i="1"/>
  <c r="C34" i="1"/>
  <c r="C33" i="1"/>
  <c r="D32" i="1"/>
  <c r="E31" i="1"/>
  <c r="E30" i="1"/>
  <c r="Q29" i="1"/>
  <c r="L29" i="1"/>
  <c r="C29" i="1"/>
  <c r="O28" i="1"/>
  <c r="G28" i="1"/>
  <c r="R27" i="1"/>
  <c r="M27" i="1"/>
  <c r="E27" i="1"/>
  <c r="P26" i="1"/>
  <c r="J26" i="1"/>
  <c r="C26" i="1"/>
  <c r="N25" i="1"/>
  <c r="F25" i="1"/>
  <c r="R24" i="1"/>
  <c r="L24" i="1"/>
  <c r="D24" i="1"/>
  <c r="P23" i="1"/>
  <c r="G23" i="1"/>
  <c r="B23" i="1"/>
  <c r="E22" i="1"/>
  <c r="Q21" i="1"/>
  <c r="L21" i="1"/>
  <c r="C21" i="1"/>
  <c r="O20" i="1"/>
  <c r="G20" i="1"/>
  <c r="R19" i="1"/>
  <c r="M19" i="1"/>
  <c r="E19" i="1"/>
  <c r="E18" i="1"/>
  <c r="Q17" i="1"/>
  <c r="L17" i="1"/>
  <c r="C17" i="1"/>
  <c r="E16" i="1"/>
  <c r="Q15" i="1"/>
  <c r="J15" i="1"/>
  <c r="C15" i="1"/>
  <c r="D14" i="1"/>
  <c r="B10" i="1"/>
  <c r="F7" i="1"/>
  <c r="E4" i="1"/>
  <c r="H19" i="6"/>
  <c r="S139" i="1"/>
  <c r="M133" i="1"/>
  <c r="M129" i="1"/>
  <c r="M120" i="1"/>
  <c r="M116" i="1"/>
  <c r="F110" i="1"/>
  <c r="J103" i="1"/>
  <c r="Q101" i="1"/>
  <c r="F101" i="1"/>
  <c r="O100" i="1"/>
  <c r="D100" i="1"/>
  <c r="M99" i="1"/>
  <c r="B99" i="1"/>
  <c r="J98" i="1"/>
  <c r="Q97" i="1"/>
  <c r="F97" i="1"/>
  <c r="O96" i="1"/>
  <c r="D96" i="1"/>
  <c r="F93" i="1"/>
  <c r="D92" i="1"/>
  <c r="B91" i="1"/>
  <c r="F89" i="1"/>
  <c r="B87" i="1"/>
  <c r="D84" i="1"/>
  <c r="F81" i="1"/>
  <c r="B79" i="1"/>
  <c r="D76" i="1"/>
  <c r="F73" i="1"/>
  <c r="B71" i="1"/>
  <c r="D68" i="1"/>
  <c r="F65" i="1"/>
  <c r="B63" i="1"/>
  <c r="D60" i="1"/>
  <c r="F57" i="1"/>
  <c r="B55" i="1"/>
  <c r="D52" i="1"/>
  <c r="F49" i="1"/>
  <c r="B47" i="1"/>
  <c r="E44" i="1"/>
  <c r="G42" i="1"/>
  <c r="B41" i="1"/>
  <c r="C40" i="1"/>
  <c r="C39" i="1"/>
  <c r="D38" i="1"/>
  <c r="E37" i="1"/>
  <c r="E36" i="1"/>
  <c r="F35" i="1"/>
  <c r="G34" i="1"/>
  <c r="G33" i="1"/>
  <c r="B33" i="1"/>
  <c r="C32" i="1"/>
  <c r="C31" i="1"/>
  <c r="D30" i="1"/>
  <c r="P29" i="1"/>
  <c r="G29" i="1"/>
  <c r="B29" i="1"/>
  <c r="N28" i="1"/>
  <c r="E28" i="1"/>
  <c r="Q27" i="1"/>
  <c r="L27" i="1"/>
  <c r="C27" i="1"/>
  <c r="O26" i="1"/>
  <c r="G26" i="1"/>
  <c r="R25" i="1"/>
  <c r="M25" i="1"/>
  <c r="E25" i="1"/>
  <c r="P24" i="1"/>
  <c r="J24" i="1"/>
  <c r="C24" i="1"/>
  <c r="N23" i="1"/>
  <c r="F23" i="1"/>
  <c r="D22" i="1"/>
  <c r="P21" i="1"/>
  <c r="G21" i="1"/>
  <c r="B21" i="1"/>
  <c r="N20" i="1"/>
  <c r="E20" i="1"/>
  <c r="Q19" i="1"/>
  <c r="L19" i="1"/>
  <c r="C19" i="1"/>
  <c r="D18" i="1"/>
  <c r="P17" i="1"/>
  <c r="G17" i="1"/>
  <c r="B17" i="1"/>
  <c r="D16" i="1"/>
  <c r="O15" i="1"/>
  <c r="G15" i="1"/>
  <c r="B15" i="1"/>
  <c r="B14" i="1"/>
  <c r="F9" i="1"/>
  <c r="B7" i="1"/>
  <c r="O22" i="1" l="1"/>
  <c r="B112" i="1"/>
  <c r="B119" i="1"/>
  <c r="B123" i="1"/>
  <c r="H129" i="1"/>
  <c r="P22" i="1"/>
  <c r="H110" i="1"/>
  <c r="B124" i="1"/>
  <c r="B131" i="1"/>
  <c r="J22" i="1"/>
  <c r="B111" i="1"/>
  <c r="H117" i="1"/>
  <c r="H125" i="1"/>
  <c r="L22" i="1"/>
  <c r="B109" i="1"/>
  <c r="B118" i="1"/>
  <c r="D121" i="1"/>
  <c r="B127" i="1"/>
  <c r="M22" i="1"/>
  <c r="Q22" i="1"/>
  <c r="H109" i="1"/>
  <c r="D118" i="1"/>
  <c r="H121" i="1"/>
  <c r="D124" i="1"/>
  <c r="H127" i="1"/>
  <c r="H131" i="1"/>
  <c r="N22" i="1"/>
  <c r="R22" i="1"/>
  <c r="D117" i="1"/>
  <c r="H120" i="1"/>
  <c r="H122" i="1"/>
  <c r="D125" i="1"/>
  <c r="B129" i="1"/>
  <c r="P2" i="6"/>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23" i="6"/>
  <c r="J5" i="6"/>
  <c r="J18" i="6"/>
  <c r="J21" i="6"/>
  <c r="J6" i="6"/>
  <c r="J17" i="6"/>
  <c r="J20" i="6"/>
  <c r="J9" i="6"/>
  <c r="J16" i="6"/>
  <c r="J19" i="6"/>
  <c r="J15" i="6"/>
  <c r="J8" i="6"/>
  <c r="J22" i="6"/>
  <c r="J7" i="6"/>
</calcChain>
</file>

<file path=xl/sharedStrings.xml><?xml version="1.0" encoding="utf-8"?>
<sst xmlns="http://schemas.openxmlformats.org/spreadsheetml/2006/main" count="628" uniqueCount="326">
  <si>
    <t>d19041218.IB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</si>
  <si>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</si>
  <si>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</si>
  <si>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</si>
  <si>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</si>
  <si>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</si>
  <si>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</si>
  <si>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</si>
  <si>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</si>
  <si>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</si>
  <si>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</si>
  <si>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</si>
  <si>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</si>
  <si>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</si>
  <si>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</si>
  <si>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</si>
  <si>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</si>
  <si>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</si>
  <si>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</si>
  <si>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</si>
  <si>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</si>
  <si>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</si>
  <si>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</si>
  <si>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011802476.IB</t>
  </si>
  <si>
    <t>主体级别</t>
  </si>
  <si>
    <t>AA+</t>
  </si>
  <si>
    <t>101900170.IB</t>
  </si>
  <si>
    <t>*选择性黏贴</t>
  </si>
  <si>
    <t>011900340.IB</t>
  </si>
  <si>
    <t>数据年度</t>
  </si>
  <si>
    <t>2017年</t>
  </si>
  <si>
    <t>041800258.IB</t>
  </si>
  <si>
    <t>总资产</t>
  </si>
  <si>
    <t>031800146.IB</t>
  </si>
  <si>
    <t>负债率</t>
  </si>
  <si>
    <t>155146.SH</t>
  </si>
  <si>
    <t>流动比率</t>
  </si>
  <si>
    <t>041900034.IB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</si>
  <si>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</si>
  <si>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</si>
  <si>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</si>
  <si>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</si>
  <si>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</si>
  <si>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</si>
  <si>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</si>
  <si>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</si>
  <si>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</si>
  <si>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</si>
  <si>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</si>
  <si>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</si>
  <si>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</si>
  <si>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</si>
  <si>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</si>
  <si>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</si>
  <si>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</si>
  <si>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</si>
  <si>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</si>
  <si>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</si>
  <si>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</si>
  <si>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</si>
  <si>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</si>
  <si>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</si>
  <si>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</si>
  <si>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</si>
  <si>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</si>
  <si>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</si>
  <si>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</si>
  <si>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</si>
  <si>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</si>
  <si>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</si>
  <si>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</si>
  <si>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</si>
  <si>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</si>
  <si>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</si>
  <si>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</si>
  <si>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</si>
  <si>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</si>
  <si>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</si>
  <si>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</si>
  <si>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</si>
  <si>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</si>
  <si>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</si>
  <si>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</si>
  <si>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</si>
  <si>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</si>
  <si>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</si>
  <si>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</si>
  <si>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</si>
  <si>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</si>
  <si>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</si>
  <si>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</si>
  <si>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</si>
  <si>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</si>
  <si>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</si>
  <si>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</si>
  <si>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</si>
  <si>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</si>
  <si>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</si>
  <si>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</si>
  <si>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</si>
  <si>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</si>
  <si>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</si>
  <si>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</si>
  <si>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</si>
  <si>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</si>
  <si>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</si>
  <si>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</si>
  <si>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</si>
  <si>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</si>
  <si>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</si>
  <si>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</si>
  <si>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</si>
  <si>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</si>
  <si>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</si>
  <si>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</si>
  <si>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</si>
  <si>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</si>
  <si>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</si>
  <si>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</si>
  <si>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</si>
  <si>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</si>
  <si>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031900278.IB</t>
  </si>
  <si>
    <t>20190326</t>
  </si>
  <si>
    <t>19淮安水利PPN002</t>
  </si>
  <si>
    <t>031900047.IB</t>
  </si>
  <si>
    <t>20190116</t>
  </si>
  <si>
    <t>19淮安水利PPN001</t>
  </si>
  <si>
    <t>031800695.IB</t>
  </si>
  <si>
    <t>20181123</t>
  </si>
  <si>
    <t>18淮安水利PPN001</t>
  </si>
  <si>
    <t>011802290.IB</t>
  </si>
  <si>
    <t>20181122</t>
  </si>
  <si>
    <t>18淮安水利SCP002</t>
  </si>
  <si>
    <t>101800695.IB</t>
  </si>
  <si>
    <t>20181018</t>
  </si>
  <si>
    <t>18淮安水利MTN002</t>
  </si>
  <si>
    <t>011800844.IB</t>
  </si>
  <si>
    <t>20180425</t>
  </si>
  <si>
    <t>18淮安水利SCP001</t>
  </si>
  <si>
    <t>101800073.IB</t>
  </si>
  <si>
    <t>20180207</t>
  </si>
  <si>
    <t>18淮安水利MTN001</t>
  </si>
  <si>
    <t>031763015.IB</t>
  </si>
  <si>
    <t>20170818</t>
  </si>
  <si>
    <t>17淮安水利PPN001</t>
  </si>
  <si>
    <t>127565.SH</t>
  </si>
  <si>
    <t>20170810</t>
  </si>
  <si>
    <t>17淮水利</t>
  </si>
  <si>
    <t>1780212.IB</t>
  </si>
  <si>
    <t>17淮安水利债</t>
  </si>
  <si>
    <t>114085.SZ</t>
  </si>
  <si>
    <t>20161208</t>
  </si>
  <si>
    <t>16淮水07</t>
  </si>
  <si>
    <t>145084.SH</t>
  </si>
  <si>
    <t>20161027</t>
  </si>
  <si>
    <t>16淮水05</t>
  </si>
  <si>
    <t>101662072.IB</t>
  </si>
  <si>
    <t>20161012</t>
  </si>
  <si>
    <t>16淮安水利MTN002</t>
  </si>
  <si>
    <t>118807.SZ</t>
  </si>
  <si>
    <t>20160817</t>
  </si>
  <si>
    <t>16淮水03</t>
  </si>
  <si>
    <t>118808.SZ</t>
  </si>
  <si>
    <t>16淮水04</t>
  </si>
  <si>
    <t>135642.SH</t>
  </si>
  <si>
    <t>20160719</t>
  </si>
  <si>
    <t>16淮交债</t>
  </si>
  <si>
    <t>135596.SH</t>
  </si>
  <si>
    <t>20160704</t>
  </si>
  <si>
    <t>16淮水02</t>
  </si>
  <si>
    <t>118664.SZ</t>
  </si>
  <si>
    <t>20160429</t>
  </si>
  <si>
    <t>16淮水01</t>
  </si>
  <si>
    <t>031663007.IB</t>
  </si>
  <si>
    <t>20160311</t>
  </si>
  <si>
    <t>16淮安水利PPN001</t>
  </si>
  <si>
    <t>101662007.IB</t>
  </si>
  <si>
    <t>20160119</t>
  </si>
  <si>
    <t>16淮安水利MTN001</t>
  </si>
  <si>
    <t>125688.SH</t>
  </si>
  <si>
    <t>20151214</t>
  </si>
  <si>
    <t>15淮水01</t>
  </si>
  <si>
    <t>125788.SH</t>
  </si>
  <si>
    <t>20150923</t>
  </si>
  <si>
    <t>15园兴债</t>
  </si>
  <si>
    <t>101562034.IB</t>
  </si>
  <si>
    <t>20150917</t>
  </si>
  <si>
    <t>15淮安水利MTN002</t>
  </si>
  <si>
    <t>125527.SH</t>
  </si>
  <si>
    <t>20150505</t>
  </si>
  <si>
    <t>14恒兴01</t>
  </si>
  <si>
    <t>101562008.IB</t>
  </si>
  <si>
    <t>20150423</t>
  </si>
  <si>
    <t>15淮安水利MTN001</t>
  </si>
  <si>
    <t>125478.SH</t>
  </si>
  <si>
    <t>20150206</t>
  </si>
  <si>
    <t>14园兴债</t>
  </si>
  <si>
    <t>125266.SH</t>
  </si>
  <si>
    <t>20140418</t>
  </si>
  <si>
    <t>14天源02</t>
  </si>
  <si>
    <t>125253.SH</t>
  </si>
  <si>
    <t>20140321</t>
  </si>
  <si>
    <t>14天源01</t>
  </si>
  <si>
    <t>125187.SH</t>
  </si>
  <si>
    <t>20140102</t>
  </si>
  <si>
    <t>13淮水02</t>
  </si>
  <si>
    <t>125154.SH</t>
  </si>
  <si>
    <t>20131015</t>
  </si>
  <si>
    <t>PR淮水01</t>
  </si>
  <si>
    <t>1280032.IB</t>
  </si>
  <si>
    <t>20120308</t>
  </si>
  <si>
    <t>12淮安水利债</t>
  </si>
  <si>
    <t>122722.SH</t>
  </si>
  <si>
    <t>PR淮水利</t>
  </si>
  <si>
    <t>历史主体评级</t>
  </si>
  <si>
    <t>发布日期</t>
  </si>
  <si>
    <t>主体资信级别</t>
  </si>
  <si>
    <t>评级展望</t>
  </si>
  <si>
    <t>评级机构</t>
  </si>
  <si>
    <t>20181228</t>
  </si>
  <si>
    <t>稳定</t>
  </si>
  <si>
    <t>中诚信国际信用评级有限责任公司</t>
  </si>
  <si>
    <t>20180806</t>
  </si>
  <si>
    <t>20180626</t>
  </si>
  <si>
    <t>大公国际资信评估有限公司</t>
  </si>
  <si>
    <t>20180625</t>
  </si>
  <si>
    <t>20180403</t>
  </si>
  <si>
    <t>20171222</t>
  </si>
  <si>
    <t>20170824</t>
  </si>
  <si>
    <t>中诚信证券评估有限公司</t>
  </si>
  <si>
    <t>20170724</t>
  </si>
  <si>
    <t>20170612</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</si>
  <si>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</si>
  <si>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</si>
  <si>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</si>
  <si>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</si>
  <si>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</si>
  <si>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</si>
  <si>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</si>
  <si>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</si>
  <si>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</si>
  <si>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</si>
  <si>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</si>
  <si>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</si>
  <si>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</si>
  <si>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</si>
  <si>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</si>
  <si>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</si>
  <si>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联合资信评估有限公司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</si>
  <si>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</si>
  <si>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</si>
  <si>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</si>
  <si>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</si>
  <si>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</si>
  <si>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</si>
  <si>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联合信用评级有限公司</t>
  </si>
  <si>
    <t>南通城市建设集团有限公司</t>
  </si>
  <si>
    <t>AA+稳定上调至AAA稳定</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</si>
  <si>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</si>
  <si>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</si>
  <si>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</si>
  <si>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</si>
  <si>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上海新世纪资信评估投资服务有限公司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</si>
  <si>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</si>
  <si>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</si>
  <si>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</si>
  <si>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</si>
  <si>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</si>
  <si>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</si>
  <si>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</si>
  <si>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</si>
  <si>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</si>
  <si>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</si>
  <si>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</si>
  <si>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鹏元资信评估有限公司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</si>
  <si>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</si>
  <si>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</si>
  <si>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</si>
  <si>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</si>
  <si>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</si>
  <si>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</si>
  <si>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</si>
  <si>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</si>
  <si>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</si>
  <si>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</si>
  <si>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</si>
  <si>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</si>
  <si>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</si>
  <si>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</si>
  <si>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</si>
  <si>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</si>
  <si>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</si>
  <si>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</si>
  <si>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</si>
  <si>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</si>
  <si>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</si>
  <si>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</si>
  <si>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</si>
  <si>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</si>
  <si>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</si>
  <si>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</si>
  <si>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</si>
  <si>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</si>
  <si>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</si>
  <si>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</si>
  <si>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</si>
  <si>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</si>
  <si>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</si>
  <si>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</si>
  <si>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</si>
  <si>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</si>
  <si>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淮安市水利控股集团有限公司</t>
  </si>
  <si>
    <t>地方国有企业</t>
  </si>
  <si>
    <t>工业--资本货物--建筑与工程Ⅲ--建筑与工程</t>
  </si>
  <si>
    <t>江苏省淮安市清江浦区淮海东路1号丰惠广场3601室</t>
  </si>
  <si>
    <t>作为淮安市市属水利国有资产投资经营主体，公司是淮安市范围内唯一一家从事水利基础设施建设和水环境治理的企业。自成立起，公司就积极从事全市城乡水利基础设施建设，长期承担着淮安境内多条河道的整治维护工作，并负责南水北调东线工程的地方配套建设任务，其建设的多个项目被淮安市政府评为“中心城市建设表扬项目”。公司在淮安市水利基础设施建设行业具有垄断地位。公司下属子公司江苏淮阴水利建设有限公司在水利工程建设领域拥有较高的资质，是江苏省六家水利水电施工总承包壹级企业之一，另外还具有土石方工程专业承包壹级、桥梁工程专业承包壹级、通航建筑物工程专业承包壹级、港口与航道工程总承包二级、公路路基工程专业承包二级资质，具有独立外经签约权和劳务输出许可证，能独立承担大中型水利水电工程、水利水电安装、航务工程等。凭借多年来在水利水电建设行业的深耕和积累，在行业内建立了较高的知名度，并在全国多个省份设有分公司，在区域范围内具有明显的项目资源优势，发展前景较好。</t>
  </si>
  <si>
    <t>淮安市人民政府国有资产监督管理委员会</t>
  </si>
  <si>
    <t/>
  </si>
  <si>
    <t>AAA</t>
  </si>
  <si>
    <t>AA</t>
  </si>
  <si>
    <t>无锡市太湖新城发展集团有限公司</t>
  </si>
  <si>
    <t>淮安市交通控股有限公司</t>
  </si>
  <si>
    <t>镇江国有投资控股集团有限公司</t>
  </si>
  <si>
    <t>南京高科股份有限公司</t>
  </si>
  <si>
    <t>无锡市新发集团有限公司</t>
  </si>
  <si>
    <t>常高新集团有限公司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</si>
</sst>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淮安市水利控股集团有限公司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工业--资本货物--建筑与工程Ⅲ--建筑与工程</v>
      </c>
      <c r="C5" s="120"/>
      <c r="D5" s="56" t="s">
        <v>5</v>
      </c>
      <c r="E5" s="119" t="str">
        <f>[1]!b_issuer_regaddress(A2)</f>
        <v>江苏省淮安市清江浦区淮海东路1号丰惠广场3601室</v>
      </c>
      <c r="F5" s="120"/>
      <c r="G5" s="120"/>
    </row>
    <row r="6" spans="1:20" s="17" customFormat="1" ht="81" customHeight="1" x14ac:dyDescent="0.25">
      <c r="A6" s="56" t="s">
        <v>6</v>
      </c>
      <c r="B6" s="121" t="str">
        <f>[1]!s_info_briefing(A2)</f>
        <v>作为淮安市市属水利国有资产投资经营主体，公司是淮安市范围内唯一一家从事水利基础设施建设和水环境治理的企业。自成立起，公司就积极从事全市城乡水利基础设施建设，长期承担着淮安境内多条河道的整治维护工作，并负责南水北调东线工程的地方配套建设任务，其建设的多个项目被淮安市政府评为“中心城市建设表扬项目”。公司在淮安市水利基础设施建设行业具有垄断地位。公司下属子公司江苏淮阴水利建设有限公司在水利工程建设领域拥有较高的资质，是江苏省六家水利水电施工总承包壹级企业之一，另外还具有土石方工程专业承包壹级、桥梁工程专业承包壹级、通航建筑物工程专业承包壹级、港口与航道工程总承包二级、公路路基工程专业承包二级资质，具有独立外经签约权和劳务输出许可证，能独立承担大中型水利水电工程、水利水电安装、航务工程等。凭借多年来在水利水电建设行业的深耕和积累，在行业内建立了较高的知名度，并在全国多个省份设有分公司，在区域范围内具有明显的项目资源优势，发展前景较好。</v>
      </c>
      <c r="C6" s="120"/>
      <c r="D6" s="120"/>
      <c r="E6" s="120"/>
      <c r="F6" s="120"/>
      <c r="G6" s="120"/>
    </row>
    <row r="7" spans="1:20" s="17" customFormat="1" x14ac:dyDescent="0.25">
      <c r="A7" s="58" t="s">
        <v>7</v>
      </c>
      <c r="B7" s="122" t="str">
        <f>[1]!b_issuer_shareholder(A2,"",1)</f>
        <v>淮安市人民政府国有资产监督管理委员会</v>
      </c>
      <c r="C7" s="120"/>
      <c r="D7" s="120"/>
      <c r="E7" s="120"/>
      <c r="F7" s="60">
        <f>[1]!b_issuer_propofshareholder($A$2,"",1)%</f>
        <v>1</v>
      </c>
      <c r="G7" s="59"/>
      <c r="H7" s="20" t="s">
        <v>8</v>
      </c>
      <c r="M7" s="24">
        <v>42004</v>
      </c>
      <c r="N7" s="24">
        <v>42369</v>
      </c>
      <c r="O7" s="24">
        <v>41639</v>
      </c>
      <c r="P7" s="61" t="s">
        <v>9</v>
      </c>
      <c r="Q7" s="61" t="s">
        <v>10</v>
      </c>
      <c r="R7" s="61" t="s">
        <v>11</v>
      </c>
    </row>
    <row r="8" spans="1:20" s="17" customFormat="1" x14ac:dyDescent="0.25">
      <c r="A8" s="58"/>
      <c r="B8" s="122">
        <f>[1]!b_issuer_shareholder(A2,"",2)</f>
        <v>0</v>
      </c>
      <c r="C8" s="120"/>
      <c r="D8" s="120"/>
      <c r="E8" s="120"/>
      <c r="F8" s="60">
        <f>[1]!b_issuer_propofshareholder($A$2,"",2)%</f>
        <v>0</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d19041218.IB</v>
      </c>
      <c r="K14" s="26"/>
      <c r="L14" s="27" t="str">
        <f>T15</f>
        <v>011802476.IB</v>
      </c>
      <c r="M14" s="27" t="str">
        <f>T16</f>
        <v>101900170.IB</v>
      </c>
      <c r="N14" s="27" t="str">
        <f>T17</f>
        <v>011900340.IB</v>
      </c>
      <c r="O14" s="27" t="str">
        <f>T18</f>
        <v>041800258.IB</v>
      </c>
      <c r="P14" s="27" t="str">
        <f>T19</f>
        <v>031800146.IB</v>
      </c>
      <c r="Q14" s="27" t="str">
        <f>T20</f>
        <v>155146.SH</v>
      </c>
      <c r="R14" s="5" t="str">
        <f>T21</f>
        <v>041900034.IB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淮安市水利控股集团有限公司</v>
      </c>
      <c r="K15" s="138"/>
      <c r="L15" s="8" t="str">
        <f>[1]!b_info_issuer(L14)</f>
        <v>无锡市太湖新城发展集团有限公司</v>
      </c>
      <c r="M15" s="8" t="str">
        <f>[1]!b_info_issuer(M14)</f>
        <v>淮安市交通控股有限公司</v>
      </c>
      <c r="N15" s="8" t="str">
        <f>[1]!b_info_issuer(N14)</f>
        <v>镇江国有投资控股集团有限公司</v>
      </c>
      <c r="O15" s="8" t="str">
        <f>[1]!b_info_issuer(O14)</f>
        <v>南京高科股份有限公司</v>
      </c>
      <c r="P15" s="8" t="str">
        <f>[1]!b_info_issuer(P14)</f>
        <v>启东市城市建设投资开发有限公司</v>
      </c>
      <c r="Q15" s="8" t="str">
        <f>[1]!b_info_issuer(Q14)</f>
        <v>无锡市新发集团有限公司</v>
      </c>
      <c r="R15" s="8" t="str">
        <f>[1]!b_info_issuer(R14)</f>
        <v>常高新集团有限公司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1883.4014381560999</v>
      </c>
      <c r="K19" s="124"/>
      <c r="L19" s="67">
        <f>[1]!b_stm07_bs(L14,74,L13,1)/100000000</f>
        <v>723.64893597880007</v>
      </c>
      <c r="M19" s="67">
        <f>[1]!b_stm07_bs(M14,74,M13,1)/100000000</f>
        <v>427.03049056190002</v>
      </c>
      <c r="N19" s="67">
        <f>[1]!b_stm07_bs(N14,74,N13,1)/100000000</f>
        <v>487.18470428249998</v>
      </c>
      <c r="O19" s="67">
        <f>[1]!b_stm07_bs(O14,74,O13,1)/100000000</f>
        <v>261.21498581689997</v>
      </c>
      <c r="P19" s="67">
        <f>[1]!b_stm07_bs(P14,74,P13,1)/100000000</f>
        <v>304.30850570360002</v>
      </c>
      <c r="Q19" s="67">
        <f>[1]!b_stm07_bs(Q14,74,Q13,1)/100000000</f>
        <v>405.04128705970004</v>
      </c>
      <c r="R19" s="67">
        <f>[1]!b_stm07_bs(R14,74,R13,1)/100000000</f>
        <v>591.51421919769996</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0.46768700000000002</v>
      </c>
      <c r="K20" s="124"/>
      <c r="L20" s="10">
        <f>[1]!s_fa_debttoassets(L14,L13)/100</f>
        <v>0.68738500000000002</v>
      </c>
      <c r="M20" s="10">
        <f>[1]!s_fa_debttoassets(M14,M13)/100</f>
        <v>0.51422600000000007</v>
      </c>
      <c r="N20" s="10">
        <f>[1]!s_fa_debttoassets(N14,N13)/100</f>
        <v>0.50809499999999996</v>
      </c>
      <c r="O20" s="10">
        <f>[1]!s_fa_debttoassets(O14,O13)/100</f>
        <v>0.588059</v>
      </c>
      <c r="P20" s="10">
        <f>[1]!s_fa_debttoassets(P14,P13)/100</f>
        <v>0.56648399999999999</v>
      </c>
      <c r="Q20" s="10">
        <f>[1]!s_fa_debttoassets(Q14,Q13)/100</f>
        <v>0.60341500000000003</v>
      </c>
      <c r="R20" s="10">
        <f>[1]!s_fa_debttoassets(R14,R13)/100</f>
        <v>0.65662200000000004</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3.4929000000000001</v>
      </c>
      <c r="K21" s="124"/>
      <c r="L21" s="67">
        <f>[1]!s_fa_current(L14,L13)</f>
        <v>5.1325000000000003</v>
      </c>
      <c r="M21" s="67">
        <f>[1]!s_fa_current(M14,M13)</f>
        <v>2.7185000000000001</v>
      </c>
      <c r="N21" s="67">
        <f>[1]!s_fa_current(N14,N13)</f>
        <v>1.3205</v>
      </c>
      <c r="O21" s="67">
        <f>[1]!s_fa_current(O14,O13)</f>
        <v>0.88490000000000002</v>
      </c>
      <c r="P21" s="67">
        <f>[1]!s_fa_current(P14,P13)</f>
        <v>4.2236000000000002</v>
      </c>
      <c r="Q21" s="67">
        <f>[1]!s_fa_current(Q14,Q13)</f>
        <v>3.3107000000000002</v>
      </c>
      <c r="R21" s="67">
        <f>[1]!s_fa_current(R14,R13)</f>
        <v>3.0390000000000001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0.66583480647192383</v>
      </c>
      <c r="K22" s="124"/>
      <c r="L22" s="65">
        <f>(公式页!L96+公式页!L97+公式页!L98+公式页!L99+公式页!L100+公式页!L101)/公式页!L103</f>
        <v>1.7509049656730764</v>
      </c>
      <c r="M22" s="65">
        <f t="shared" ref="M22:R22" si="0">(M96+M97+M98+M99+M100+M101)/M103</f>
        <v>0.78340025933900548</v>
      </c>
      <c r="N22" s="65">
        <f t="shared" si="0"/>
        <v>0.70314573891083021</v>
      </c>
      <c r="O22" s="65">
        <f t="shared" si="0"/>
        <v>0.35291656220779793</v>
      </c>
      <c r="P22" s="65">
        <f t="shared" si="0"/>
        <v>0.93505217039093025</v>
      </c>
      <c r="Q22" s="65">
        <f t="shared" si="0"/>
        <v>1.1435722832232449</v>
      </c>
      <c r="R22" s="65">
        <f t="shared" si="0"/>
        <v>1.4675815316024998</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1.8800000000000001E-2</v>
      </c>
      <c r="K23" s="124"/>
      <c r="L23" s="67">
        <f>[1]!s_fa_ebitdatodebt(L14,L13)</f>
        <v>1.09E-2</v>
      </c>
      <c r="M23" s="67">
        <f>[1]!s_fa_ebitdatodebt(M14,M13)</f>
        <v>1.9800000000000002E-2</v>
      </c>
      <c r="N23" s="67">
        <f>[1]!s_fa_ebitdatodebt(N14,N13)</f>
        <v>5.7700000000000001E-2</v>
      </c>
      <c r="O23" s="67">
        <f>[1]!s_fa_ebitdatodebt(O14,O13)</f>
        <v>0.1009</v>
      </c>
      <c r="P23" s="67">
        <f>[1]!s_fa_ebitdatodebt(P14,P13)</f>
        <v>1.7299999999999999E-2</v>
      </c>
      <c r="Q23" s="67">
        <f>[1]!s_fa_ebitdatodebt(Q14,Q13)</f>
        <v>4.1300000000000003E-2</v>
      </c>
      <c r="R23" s="67">
        <f>[1]!s_fa_ebitdatodebt(R14,R13)</f>
        <v>3.8399999999999997E-2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87.359187206100003</v>
      </c>
      <c r="K24" s="124"/>
      <c r="L24" s="67">
        <f>[1]!b_stm07_is(L14,9,L13,1)/100000000</f>
        <v>28.2723522177</v>
      </c>
      <c r="M24" s="67">
        <f>[1]!b_stm07_is(M14,9,M13,1)/100000000</f>
        <v>21.2110358043</v>
      </c>
      <c r="N24" s="67">
        <f>[1]!b_stm07_is(N14,9,N13,1)/100000000</f>
        <v>72.016906167000002</v>
      </c>
      <c r="O24" s="67">
        <f>[1]!b_stm07_is(O14,9,O13,1)/100000000</f>
        <v>35.9543762614</v>
      </c>
      <c r="P24" s="67">
        <f>[1]!b_stm07_is(P14,9,P13,1)/100000000</f>
        <v>15.7614949544</v>
      </c>
      <c r="Q24" s="67">
        <f>[1]!b_stm07_is(Q14,9,Q13,1)/100000000</f>
        <v>28.028744794600001</v>
      </c>
      <c r="R24" s="67">
        <f>[1]!b_stm07_is(R14,9,R13,1)/100000000</f>
        <v>105.3104513621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0.66180000000000005</v>
      </c>
      <c r="K25" s="124"/>
      <c r="L25" s="11">
        <f>[1]!s_fa_salescashintoor(L14,L13)%</f>
        <v>1.0410999999999999</v>
      </c>
      <c r="M25" s="11">
        <f>[1]!s_fa_salescashintoor(M14,M13)%</f>
        <v>0.7451000000000001</v>
      </c>
      <c r="N25" s="11">
        <f>[1]!s_fa_salescashintoor(N14,N13)%</f>
        <v>1.2472000000000001</v>
      </c>
      <c r="O25" s="11">
        <f>[1]!s_fa_salescashintoor(O14,O13)%</f>
        <v>0.67869999999999986</v>
      </c>
      <c r="P25" s="11">
        <f>[1]!s_fa_salescashintoor(P14,P13)%</f>
        <v>0.91610000000000003</v>
      </c>
      <c r="Q25" s="11">
        <f>[1]!s_fa_salescashintoor(Q14,Q13)%</f>
        <v>1.4552</v>
      </c>
      <c r="R25" s="11">
        <f>[1]!s_fa_salescashintoor(R14,R13)%</f>
        <v>1.1054999999999999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0.17128199999999999</v>
      </c>
      <c r="K26" s="124"/>
      <c r="L26" s="11">
        <f>[1]!s_fa_grossprofitmargin(L14,L13)%</f>
        <v>0.17471699999999998</v>
      </c>
      <c r="M26" s="11">
        <f>[1]!s_fa_grossprofitmargin(M14,M13)%</f>
        <v>9.3592999999999996E-2</v>
      </c>
      <c r="N26" s="11">
        <f>[1]!s_fa_grossprofitmargin(N14,N13)%</f>
        <v>0.158246</v>
      </c>
      <c r="O26" s="11">
        <f>[1]!s_fa_grossprofitmargin(O14,O13)%</f>
        <v>0.43598999999999999</v>
      </c>
      <c r="P26" s="11">
        <f>[1]!s_fa_grossprofitmargin(P14,P13)%</f>
        <v>0.112384</v>
      </c>
      <c r="Q26" s="11">
        <f>[1]!s_fa_grossprofitmargin(Q14,Q13)%</f>
        <v>0.12770599999999999</v>
      </c>
      <c r="R26" s="11">
        <f>[1]!s_fa_grossprofitmargin(R14,R13)%</f>
        <v>0.129244</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9.6169569164999995</v>
      </c>
      <c r="K27" s="124"/>
      <c r="L27" s="68">
        <f>[1]!b_stm07_is(L14,60,L13,1)/100000000</f>
        <v>3.7777351136000004</v>
      </c>
      <c r="M27" s="68">
        <f>[1]!b_stm07_is(M14,60,M13,1)/100000000</f>
        <v>1.6779184878</v>
      </c>
      <c r="N27" s="68">
        <f>[1]!b_stm07_is(N14,60,N13,1)/100000000</f>
        <v>4.4314841295000003</v>
      </c>
      <c r="O27" s="68">
        <f>[1]!b_stm07_is(O14,60,O13,1)/100000000</f>
        <v>10.352765258</v>
      </c>
      <c r="P27" s="68">
        <f>[1]!b_stm07_is(P14,60,P13,1)/100000000</f>
        <v>2.3243229681000002</v>
      </c>
      <c r="Q27" s="68">
        <f>[1]!b_stm07_is(Q14,60,Q13,1)/100000000</f>
        <v>2.4720525708000003</v>
      </c>
      <c r="R27" s="68">
        <f>[1]!b_stm07_is(R14,60,R13,1)/100000000</f>
        <v>3.6205475682999997</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1.03E-2</v>
      </c>
      <c r="K28" s="124"/>
      <c r="L28" s="10">
        <f>[1]!s_fa_roe(L14,L13)%</f>
        <v>1.6695000000000002E-2</v>
      </c>
      <c r="M28" s="10">
        <f>[1]!s_fa_roe(M14,M13)%</f>
        <v>7.0190000000000001E-3</v>
      </c>
      <c r="N28" s="10">
        <f>[1]!s_fa_roe(N14,N13)%</f>
        <v>1.3923000000000001E-2</v>
      </c>
      <c r="O28" s="10">
        <f>[1]!s_fa_roe(O14,O13)%</f>
        <v>9.4763E-2</v>
      </c>
      <c r="P28" s="10">
        <f>[1]!s_fa_roe(P14,P13)%</f>
        <v>1.7971999999999998E-2</v>
      </c>
      <c r="Q28" s="10">
        <f>[1]!s_fa_roe(Q14,Q13)%</f>
        <v>2.3732000000000003E-2</v>
      </c>
      <c r="R28" s="10">
        <f>[1]!s_fa_roe(R14,R13)%</f>
        <v>1.1235E-2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-38.0743160002</v>
      </c>
      <c r="K29" s="124"/>
      <c r="L29" s="68">
        <f>[1]!b_stm07_cs(L14,39,L13,1)/100000000</f>
        <v>44.336964954399996</v>
      </c>
      <c r="M29" s="68">
        <f>[1]!b_stm07_cs(M14,39,M13,1)/100000000</f>
        <v>3.3794283466000001</v>
      </c>
      <c r="N29" s="68">
        <f>[1]!b_stm07_cs(N14,39,N13,1)/100000000</f>
        <v>9.2700495020000009</v>
      </c>
      <c r="O29" s="68">
        <f>[1]!b_stm07_cs(O14,39,O13,1)/100000000</f>
        <v>1.8421046256</v>
      </c>
      <c r="P29" s="68">
        <f>[1]!b_stm07_cs(P14,39,P13,1)/100000000</f>
        <v>5.4336975028999994</v>
      </c>
      <c r="Q29" s="68">
        <f>[1]!b_stm07_cs(Q14,39,Q13,1)/100000000</f>
        <v>52.352400878699996</v>
      </c>
      <c r="R29" s="68">
        <f>[1]!b_stm07_cs(R14,39,R13,1)/100000000</f>
        <v>16.477565049200003</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4880662343.3699999</v>
      </c>
      <c r="K96" s="70"/>
      <c r="L96" s="70">
        <f>[1]!b_stm07_bs(L14,75,L13,1)</f>
        <v>500000000</v>
      </c>
      <c r="M96" s="70">
        <f>[1]!b_stm07_bs(M14,75,M13,1)</f>
        <v>652004767.38</v>
      </c>
      <c r="N96" s="70">
        <f>[1]!b_stm07_bs(N14,75,N13,1)</f>
        <v>2926002682.02</v>
      </c>
      <c r="O96" s="70">
        <f>[1]!b_stm07_bs(O14,75,O13,1)</f>
        <v>3282061000</v>
      </c>
      <c r="P96" s="70">
        <f>[1]!b_stm07_bs(P14,75,P13,1)</f>
        <v>88500000</v>
      </c>
      <c r="Q96" s="70">
        <f>[1]!b_stm07_bs(Q14,75,Q13,1)</f>
        <v>580000000</v>
      </c>
      <c r="R96" s="70">
        <f>[1]!b_stm07_bs(R14,75,R13,1)</f>
        <v>1134863293.1400001</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812463638.44000006</v>
      </c>
      <c r="K97" s="70"/>
      <c r="L97" s="70">
        <f>[1]!b_stm07_bs(L14,82,L13,1)</f>
        <v>148527102.03999999</v>
      </c>
      <c r="M97" s="70">
        <f>[1]!b_stm07_bs(M14,82,M13,1)</f>
        <v>2838134.44</v>
      </c>
      <c r="N97" s="70">
        <f>[1]!b_stm07_bs(N14,82,N13,1)</f>
        <v>414846436.37</v>
      </c>
      <c r="O97" s="70">
        <f>[1]!b_stm07_bs(O14,82,O13,1)</f>
        <v>4315824.24</v>
      </c>
      <c r="P97" s="70">
        <f>[1]!b_stm07_bs(P14,82,P13,1)</f>
        <v>123516564.45</v>
      </c>
      <c r="Q97" s="70">
        <f>[1]!b_stm07_bs(Q14,82,Q13,1)</f>
        <v>0</v>
      </c>
      <c r="R97" s="70">
        <f>[1]!b_stm07_bs(R14,82,R13,1)</f>
        <v>454178937.07999998</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7751562658.7600002</v>
      </c>
      <c r="K98" s="70"/>
      <c r="L98" s="70">
        <f>[1]!b_stm07_bs(L14,88,L13,1)</f>
        <v>3766967660.5100002</v>
      </c>
      <c r="M98" s="70">
        <f>[1]!b_stm07_bs(M14,88,M13,1)</f>
        <v>1262870000</v>
      </c>
      <c r="N98" s="70">
        <f>[1]!b_stm07_bs(N14,88,N13,1)</f>
        <v>5758161935.6199999</v>
      </c>
      <c r="O98" s="70">
        <f>[1]!b_stm07_bs(O14,88,O13,1)</f>
        <v>511189888.79000002</v>
      </c>
      <c r="P98" s="70">
        <f>[1]!b_stm07_bs(P14,88,P13,1)</f>
        <v>940850000</v>
      </c>
      <c r="Q98" s="70">
        <f>[1]!b_stm07_bs(Q14,88,Q13,1)</f>
        <v>3497460651</v>
      </c>
      <c r="R98" s="70">
        <f>[1]!b_stm07_bs(R14,88,R13,1)</f>
        <v>4975534886.0299997</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24133871190.990002</v>
      </c>
      <c r="K100" s="70"/>
      <c r="L100" s="70">
        <f>[1]!b_stm07_bs(L14,94,L13,1)</f>
        <v>27719911726.66</v>
      </c>
      <c r="M100" s="70">
        <f>[1]!b_stm07_bs(M14,94,M13,1)</f>
        <v>6781970000</v>
      </c>
      <c r="N100" s="70">
        <f>[1]!b_stm07_bs(N14,94,N13,1)</f>
        <v>3569160000</v>
      </c>
      <c r="O100" s="70">
        <f>[1]!b_stm07_bs(O14,94,O13,1)</f>
        <v>0</v>
      </c>
      <c r="P100" s="70">
        <f>[1]!b_stm07_bs(P14,94,P13,1)</f>
        <v>7135122500</v>
      </c>
      <c r="Q100" s="70">
        <f>[1]!b_stm07_bs(Q14,94,Q13,1)</f>
        <v>9702376852.1299992</v>
      </c>
      <c r="R100" s="70">
        <f>[1]!b_stm07_bs(R14,94,R13,1)</f>
        <v>11350359201.190001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29175291797.040001</v>
      </c>
      <c r="K101" s="70"/>
      <c r="L101" s="70">
        <f>[1]!b_stm07_bs(L14,95,L13,1)</f>
        <v>7474174737.8599997</v>
      </c>
      <c r="M101" s="70">
        <f>[1]!b_stm07_bs(M14,95,M13,1)</f>
        <v>7551206234.5200005</v>
      </c>
      <c r="N101" s="70">
        <f>[1]!b_stm07_bs(N14,95,N13,1)</f>
        <v>4182617399.9299998</v>
      </c>
      <c r="O101" s="70">
        <f>[1]!b_stm07_bs(O14,95,O13,1)</f>
        <v>0</v>
      </c>
      <c r="P101" s="70">
        <f>[1]!b_stm07_bs(P14,95,P13,1)</f>
        <v>4047468475.9499998</v>
      </c>
      <c r="Q101" s="70">
        <f>[1]!b_stm07_bs(Q14,95,Q13,1)</f>
        <v>4589740278.0100002</v>
      </c>
      <c r="R101" s="70">
        <f>[1]!b_stm07_bs(R14,95,R13,1)</f>
        <v>11893562695.09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100255875751.39</v>
      </c>
      <c r="K103" s="70"/>
      <c r="L103" s="70">
        <f>[1]!b_stm07_bs(L14,141,L13,1)</f>
        <v>22622347873.599998</v>
      </c>
      <c r="M103" s="70">
        <f>[1]!b_stm07_bs(M14,141,M13,1)</f>
        <v>20744043600.459999</v>
      </c>
      <c r="N103" s="70">
        <f>[1]!b_stm07_bs(N14,141,N13,1)</f>
        <v>23964858949.5</v>
      </c>
      <c r="O103" s="70">
        <f>[1]!b_stm07_bs(O14,141,O13,1)</f>
        <v>10760522796.870001</v>
      </c>
      <c r="P103" s="70">
        <f>[1]!b_stm07_bs(P14,141,P13,1)</f>
        <v>13192266625.34</v>
      </c>
      <c r="Q103" s="70">
        <f>[1]!b_stm07_bs(Q14,141,Q13,1)</f>
        <v>16063328965.41</v>
      </c>
      <c r="R103" s="70">
        <f>[1]!b_stm07_bs(R14,141,R13,1)</f>
        <v>20311306984.07</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d19041218.IB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0.46768700000000002</v>
      </c>
      <c r="C109" s="53" t="s">
        <v>36</v>
      </c>
      <c r="D109" s="71">
        <f>[1]!s_fa_current(A2,B2)</f>
        <v>3.4929000000000001</v>
      </c>
      <c r="E109" s="53" t="s">
        <v>41</v>
      </c>
      <c r="F109" s="72">
        <f>[1]!s_fa_salescashintoor(A2,B2)/100</f>
        <v>0.66180000000000005</v>
      </c>
      <c r="G109" s="53" t="s">
        <v>42</v>
      </c>
      <c r="H109" s="12">
        <f>S109/100</f>
        <v>0.17128199999999999</v>
      </c>
      <c r="I109" s="53"/>
      <c r="J109" s="16"/>
      <c r="K109" s="25"/>
      <c r="L109" s="34" t="s">
        <v>61</v>
      </c>
      <c r="M109" s="73">
        <f>[1]!s_fa_debttoassets(A2,B2)</f>
        <v>46.768700000000003</v>
      </c>
      <c r="N109" s="53" t="s">
        <v>36</v>
      </c>
      <c r="O109" s="35"/>
      <c r="P109" s="53" t="s">
        <v>41</v>
      </c>
      <c r="Q109" s="35"/>
      <c r="R109" s="53" t="s">
        <v>42</v>
      </c>
      <c r="S109" s="74">
        <f>[1]!s_fa_grossprofitmargin(A2,B2)</f>
        <v>17.1282</v>
      </c>
    </row>
    <row r="110" spans="1:19" ht="15.75" customHeight="1" x14ac:dyDescent="0.25">
      <c r="A110" s="53" t="s">
        <v>62</v>
      </c>
      <c r="B110" s="12">
        <f>M110/100</f>
        <v>0.58051299999999995</v>
      </c>
      <c r="C110" s="53" t="s">
        <v>63</v>
      </c>
      <c r="D110" s="72">
        <f>[1]!s_fa_quick(A2,B2)</f>
        <v>1.7030000000000001</v>
      </c>
      <c r="E110" s="53" t="s">
        <v>64</v>
      </c>
      <c r="F110" s="71">
        <f>[1]!s_fa_arturn(A2,B2)</f>
        <v>1.6877</v>
      </c>
      <c r="G110" s="53" t="s">
        <v>65</v>
      </c>
      <c r="H110" s="12">
        <f>S110/100</f>
        <v>0.13364100000000001</v>
      </c>
      <c r="I110" s="53"/>
      <c r="J110" s="16"/>
      <c r="L110" s="53" t="s">
        <v>62</v>
      </c>
      <c r="M110" s="73">
        <f>[1]!s_fa_catoassets(A2,B2)</f>
        <v>58.051299999999998</v>
      </c>
      <c r="N110" s="53" t="s">
        <v>63</v>
      </c>
      <c r="O110" s="35"/>
      <c r="P110" s="53" t="s">
        <v>64</v>
      </c>
      <c r="Q110" s="72"/>
      <c r="R110" s="53" t="s">
        <v>65</v>
      </c>
      <c r="S110" s="74">
        <f>[1]!s_fa_optogr(A2,B2)</f>
        <v>13.364100000000001</v>
      </c>
    </row>
    <row r="111" spans="1:19" ht="15" customHeight="1" x14ac:dyDescent="0.25">
      <c r="A111" s="53" t="s">
        <v>66</v>
      </c>
      <c r="B111" s="12">
        <f>M111/100</f>
        <v>0.35535899999999998</v>
      </c>
      <c r="C111" s="53" t="s">
        <v>39</v>
      </c>
      <c r="D111" s="72">
        <f>[1]!s_fa_ebitdatodebt(A2,B2)</f>
        <v>1.8800000000000001E-2</v>
      </c>
      <c r="E111" s="53" t="s">
        <v>67</v>
      </c>
      <c r="F111" s="71">
        <f>[1]!s_fa_invturn(A2,B2)</f>
        <v>0.14929999999999999</v>
      </c>
      <c r="G111" s="53" t="s">
        <v>45</v>
      </c>
      <c r="H111" s="12">
        <f>S111/100</f>
        <v>1.03E-2</v>
      </c>
      <c r="I111" s="53"/>
      <c r="J111" s="16"/>
      <c r="L111" s="53" t="s">
        <v>66</v>
      </c>
      <c r="M111" s="73">
        <f>[1]!s_fa_currentdebttodebt(A2,B2)</f>
        <v>35.535899999999998</v>
      </c>
      <c r="N111" s="53" t="s">
        <v>39</v>
      </c>
      <c r="O111" s="35"/>
      <c r="P111" s="53" t="s">
        <v>67</v>
      </c>
      <c r="Q111" s="35"/>
      <c r="R111" s="53" t="s">
        <v>45</v>
      </c>
      <c r="S111" s="74">
        <f>[1]!s_fa_roe(A2,B2)</f>
        <v>1.03</v>
      </c>
    </row>
    <row r="112" spans="1:19" ht="14.25" customHeight="1" x14ac:dyDescent="0.25">
      <c r="A112" s="53" t="s">
        <v>38</v>
      </c>
      <c r="B112" s="75">
        <f>(M116+M117+M118+M119+M120+M121)/M123</f>
        <v>0.66583480647192383</v>
      </c>
      <c r="C112" s="53" t="s">
        <v>68</v>
      </c>
      <c r="D112" s="72">
        <f>[1]!s_fa_ebittointerest(A2,B2)</f>
        <v>4.7580999999999998</v>
      </c>
      <c r="E112" s="53" t="s">
        <v>69</v>
      </c>
      <c r="F112" s="71">
        <f>[1]!s_fa_caturn(A2,B2)</f>
        <v>8.7800000000000003E-2</v>
      </c>
      <c r="G112" s="53" t="s">
        <v>70</v>
      </c>
      <c r="H112" s="12">
        <f>S112/100</f>
        <v>8.4499999999999992E-3</v>
      </c>
      <c r="I112" s="53"/>
      <c r="J112" s="16"/>
      <c r="L112" s="53" t="s">
        <v>38</v>
      </c>
      <c r="M112" s="76"/>
      <c r="N112" s="53" t="s">
        <v>68</v>
      </c>
      <c r="O112" s="35"/>
      <c r="P112" s="53" t="s">
        <v>69</v>
      </c>
      <c r="Q112" s="35"/>
      <c r="R112" s="53" t="s">
        <v>70</v>
      </c>
      <c r="S112" s="74">
        <f>[1]!s_fa_roa2(A2,B2)</f>
        <v>0.84499999999999997</v>
      </c>
    </row>
    <row r="113" spans="1:21" x14ac:dyDescent="0.25">
      <c r="A113" s="30"/>
      <c r="B113" s="31"/>
      <c r="C113" s="30"/>
      <c r="D113" s="32"/>
      <c r="E113" s="30" t="s">
        <v>71</v>
      </c>
      <c r="F113" s="77">
        <f>[1]!s_fa_dupont_faturnover(A2,B2)</f>
        <v>5.0299999999999997E-2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4880662343.3699999</v>
      </c>
    </row>
    <row r="117" spans="1:21" ht="14.25" customHeight="1" x14ac:dyDescent="0.25">
      <c r="A117" s="53" t="s">
        <v>77</v>
      </c>
      <c r="B117" s="72">
        <f t="shared" ref="B117:B131" si="1">M127/100000000</f>
        <v>149.95225823360002</v>
      </c>
      <c r="C117" s="53" t="s">
        <v>78</v>
      </c>
      <c r="D117" s="75">
        <f t="shared" ref="D117:D125" si="2">O127/100000000</f>
        <v>87.359187206100003</v>
      </c>
      <c r="E117" s="131" t="s">
        <v>79</v>
      </c>
      <c r="F117" s="124"/>
      <c r="G117" s="124"/>
      <c r="H117" s="132">
        <f t="shared" ref="H117:H131" si="3">S127/100000000</f>
        <v>57.810192578299997</v>
      </c>
      <c r="I117" s="124"/>
      <c r="J117" s="124"/>
      <c r="L117" s="17" t="s">
        <v>48</v>
      </c>
      <c r="M117" s="70">
        <f>[1]!b_stm07_bs(K107,82,L107,1)</f>
        <v>812463638.44000006</v>
      </c>
    </row>
    <row r="118" spans="1:21" ht="14.25" customHeight="1" x14ac:dyDescent="0.25">
      <c r="A118" s="53" t="s">
        <v>80</v>
      </c>
      <c r="B118" s="72">
        <f t="shared" si="1"/>
        <v>61.458516477499998</v>
      </c>
      <c r="C118" s="53" t="s">
        <v>81</v>
      </c>
      <c r="D118" s="75">
        <f t="shared" si="2"/>
        <v>81.711369512299996</v>
      </c>
      <c r="E118" s="131" t="s">
        <v>82</v>
      </c>
      <c r="F118" s="124"/>
      <c r="G118" s="124"/>
      <c r="H118" s="132">
        <f t="shared" si="3"/>
        <v>90.258496211000008</v>
      </c>
      <c r="I118" s="124"/>
      <c r="J118" s="124"/>
      <c r="L118" s="17" t="s">
        <v>49</v>
      </c>
      <c r="M118" s="70">
        <f>[1]!b_stm07_bs(K107,88,L107,1)</f>
        <v>7751562658.7600002</v>
      </c>
    </row>
    <row r="119" spans="1:21" ht="14.25" customHeight="1" x14ac:dyDescent="0.25">
      <c r="A119" s="53" t="s">
        <v>83</v>
      </c>
      <c r="B119" s="72">
        <f t="shared" si="1"/>
        <v>199.30047441669998</v>
      </c>
      <c r="C119" s="53" t="s">
        <v>84</v>
      </c>
      <c r="D119" s="75">
        <f t="shared" si="2"/>
        <v>72.396130780799993</v>
      </c>
      <c r="E119" s="131" t="s">
        <v>85</v>
      </c>
      <c r="F119" s="124"/>
      <c r="G119" s="124"/>
      <c r="H119" s="133">
        <f t="shared" si="3"/>
        <v>148.06872402740001</v>
      </c>
      <c r="I119" s="124"/>
      <c r="J119" s="124"/>
      <c r="L119" s="17" t="s">
        <v>50</v>
      </c>
      <c r="M119" s="70">
        <f>[1]!b_stm07_bs(K107,147,L107,1)</f>
        <v>0</v>
      </c>
    </row>
    <row r="120" spans="1:21" ht="14.25" customHeight="1" x14ac:dyDescent="0.25">
      <c r="A120" s="53" t="s">
        <v>86</v>
      </c>
      <c r="B120" s="72">
        <f t="shared" si="1"/>
        <v>312.86126494519999</v>
      </c>
      <c r="C120" s="53" t="s">
        <v>87</v>
      </c>
      <c r="D120" s="75">
        <f t="shared" si="2"/>
        <v>0.4317860724</v>
      </c>
      <c r="E120" s="131" t="s">
        <v>88</v>
      </c>
      <c r="F120" s="124"/>
      <c r="G120" s="124"/>
      <c r="H120" s="132">
        <f t="shared" si="3"/>
        <v>98.316624112499994</v>
      </c>
      <c r="I120" s="124"/>
      <c r="J120" s="124"/>
      <c r="L120" s="17" t="s">
        <v>51</v>
      </c>
      <c r="M120" s="70">
        <f>[1]!b_stm07_bs(K107,94,L107,1)</f>
        <v>24133871190.990002</v>
      </c>
    </row>
    <row r="121" spans="1:21" ht="14.25" customHeight="1" x14ac:dyDescent="0.25">
      <c r="A121" s="53" t="s">
        <v>89</v>
      </c>
      <c r="B121" s="72">
        <f t="shared" si="1"/>
        <v>16.8619692147</v>
      </c>
      <c r="C121" s="53" t="s">
        <v>90</v>
      </c>
      <c r="D121" s="75">
        <f t="shared" si="2"/>
        <v>4.0938635108999994</v>
      </c>
      <c r="E121" s="131" t="s">
        <v>91</v>
      </c>
      <c r="F121" s="124"/>
      <c r="G121" s="124"/>
      <c r="H121" s="132">
        <f t="shared" si="3"/>
        <v>82.644837539600005</v>
      </c>
      <c r="I121" s="124"/>
      <c r="J121" s="124"/>
      <c r="L121" s="17" t="s">
        <v>52</v>
      </c>
      <c r="M121" s="70">
        <f>[1]!b_stm07_bs(K107,95,L107,1)</f>
        <v>29175291797.040001</v>
      </c>
    </row>
    <row r="122" spans="1:21" ht="14.25" customHeight="1" x14ac:dyDescent="0.25">
      <c r="A122" s="53" t="s">
        <v>92</v>
      </c>
      <c r="B122" s="72">
        <f t="shared" si="1"/>
        <v>29.106234149299997</v>
      </c>
      <c r="C122" s="53" t="s">
        <v>93</v>
      </c>
      <c r="D122" s="75">
        <f t="shared" si="2"/>
        <v>3.3396697438</v>
      </c>
      <c r="E122" s="131" t="s">
        <v>94</v>
      </c>
      <c r="F122" s="124"/>
      <c r="G122" s="124"/>
      <c r="H122" s="133">
        <f t="shared" si="3"/>
        <v>186.14304002759999</v>
      </c>
      <c r="I122" s="124"/>
      <c r="J122" s="124"/>
      <c r="L122" s="17"/>
      <c r="M122" s="17"/>
    </row>
    <row r="123" spans="1:21" ht="14.25" customHeight="1" x14ac:dyDescent="0.25">
      <c r="A123" s="53" t="s">
        <v>95</v>
      </c>
      <c r="B123" s="78">
        <f t="shared" si="1"/>
        <v>1883.4014381560999</v>
      </c>
      <c r="C123" s="53" t="s">
        <v>96</v>
      </c>
      <c r="D123" s="75">
        <f t="shared" si="2"/>
        <v>11.674789351600001</v>
      </c>
      <c r="E123" s="131" t="s">
        <v>97</v>
      </c>
      <c r="F123" s="124"/>
      <c r="G123" s="124"/>
      <c r="H123" s="133">
        <f t="shared" si="3"/>
        <v>-38.0743160002</v>
      </c>
      <c r="I123" s="124"/>
      <c r="J123" s="124"/>
      <c r="L123" s="17" t="s">
        <v>53</v>
      </c>
      <c r="M123" s="70">
        <f>[1]!b_stm07_bs(K107,141,L107,1)</f>
        <v>100255875751.39</v>
      </c>
    </row>
    <row r="124" spans="1:21" ht="14.25" customHeight="1" x14ac:dyDescent="0.25">
      <c r="A124" s="53" t="s">
        <v>98</v>
      </c>
      <c r="B124" s="72">
        <f t="shared" si="1"/>
        <v>48.806623433699997</v>
      </c>
      <c r="C124" s="53" t="s">
        <v>99</v>
      </c>
      <c r="D124" s="75">
        <f t="shared" si="2"/>
        <v>11.587565059200001</v>
      </c>
      <c r="E124" s="131" t="s">
        <v>100</v>
      </c>
      <c r="F124" s="124"/>
      <c r="G124" s="124"/>
      <c r="H124" s="133">
        <f t="shared" si="3"/>
        <v>-12.9703084203</v>
      </c>
      <c r="I124" s="124"/>
      <c r="J124" s="124"/>
      <c r="L124" s="17"/>
      <c r="M124" s="17"/>
    </row>
    <row r="125" spans="1:21" ht="27" customHeight="1" x14ac:dyDescent="0.25">
      <c r="A125" s="53" t="s">
        <v>101</v>
      </c>
      <c r="B125" s="72">
        <f t="shared" si="1"/>
        <v>77.515626587599996</v>
      </c>
      <c r="C125" s="53" t="s">
        <v>43</v>
      </c>
      <c r="D125" s="75">
        <f t="shared" si="2"/>
        <v>9.6169569164999995</v>
      </c>
      <c r="E125" s="131" t="s">
        <v>102</v>
      </c>
      <c r="F125" s="124"/>
      <c r="G125" s="124"/>
      <c r="H125" s="132">
        <f t="shared" si="3"/>
        <v>0.85734999999999995</v>
      </c>
      <c r="I125" s="124"/>
      <c r="J125" s="124"/>
      <c r="L125" s="17"/>
      <c r="M125" s="17"/>
    </row>
    <row r="126" spans="1:21" ht="16.5" customHeight="1" x14ac:dyDescent="0.25">
      <c r="A126" s="53" t="s">
        <v>103</v>
      </c>
      <c r="B126" s="72">
        <f t="shared" si="1"/>
        <v>0</v>
      </c>
      <c r="C126" s="53"/>
      <c r="D126" s="79"/>
      <c r="E126" s="131" t="s">
        <v>104</v>
      </c>
      <c r="F126" s="124"/>
      <c r="G126" s="124"/>
      <c r="H126" s="132">
        <f t="shared" si="3"/>
        <v>190.87069888089999</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241.33871190990001</v>
      </c>
      <c r="C127" s="53"/>
      <c r="D127" s="79"/>
      <c r="E127" s="131" t="s">
        <v>106</v>
      </c>
      <c r="F127" s="124"/>
      <c r="G127" s="124"/>
      <c r="H127" s="132">
        <f t="shared" si="3"/>
        <v>112.835696</v>
      </c>
      <c r="I127" s="124"/>
      <c r="J127" s="124"/>
      <c r="L127" s="53" t="s">
        <v>77</v>
      </c>
      <c r="M127" s="74">
        <f>[1]!b_stm07_bs(K107,9,L107,1)</f>
        <v>14995225823.360001</v>
      </c>
      <c r="N127" s="53" t="s">
        <v>78</v>
      </c>
      <c r="O127" s="74">
        <f>[1]!b_stm07_is(K107,83,L107,1)</f>
        <v>8735918720.6100006</v>
      </c>
      <c r="P127" s="131" t="s">
        <v>79</v>
      </c>
      <c r="Q127" s="124"/>
      <c r="R127" s="124"/>
      <c r="S127" s="136">
        <f>[1]!b_stm07_cs(K107,9,L107,1)</f>
        <v>5781019257.8299999</v>
      </c>
      <c r="T127" s="135"/>
      <c r="U127" s="135"/>
    </row>
    <row r="128" spans="1:21" ht="14.25" customHeight="1" x14ac:dyDescent="0.25">
      <c r="A128" s="53" t="s">
        <v>107</v>
      </c>
      <c r="B128" s="72">
        <f t="shared" si="1"/>
        <v>291.75291797040001</v>
      </c>
      <c r="C128" s="53"/>
      <c r="D128" s="79"/>
      <c r="E128" s="131" t="s">
        <v>108</v>
      </c>
      <c r="F128" s="124"/>
      <c r="G128" s="124"/>
      <c r="H128" s="133">
        <f t="shared" si="3"/>
        <v>357.62648616029998</v>
      </c>
      <c r="I128" s="124"/>
      <c r="J128" s="124"/>
      <c r="L128" s="53" t="s">
        <v>80</v>
      </c>
      <c r="M128" s="74">
        <f>[1]!b_stm07_bs(K107,12,L107,1)</f>
        <v>6145851647.75</v>
      </c>
      <c r="N128" s="53" t="s">
        <v>81</v>
      </c>
      <c r="O128" s="74">
        <f>[1]!b_stm07_is(K107,84,L107,1)</f>
        <v>8171136951.2299995</v>
      </c>
      <c r="P128" s="131" t="s">
        <v>82</v>
      </c>
      <c r="Q128" s="124"/>
      <c r="R128" s="124"/>
      <c r="S128" s="136">
        <f>[1]!b_stm07_cs(K107,11,L107,1)</f>
        <v>9025849621.1000004</v>
      </c>
      <c r="T128" s="135"/>
      <c r="U128" s="135"/>
    </row>
    <row r="129" spans="1:21" ht="14.25" customHeight="1" x14ac:dyDescent="0.25">
      <c r="A129" s="53" t="s">
        <v>109</v>
      </c>
      <c r="B129" s="78">
        <f t="shared" si="1"/>
        <v>880.84268064219998</v>
      </c>
      <c r="C129" s="14"/>
      <c r="D129" s="13"/>
      <c r="E129" s="131" t="s">
        <v>110</v>
      </c>
      <c r="F129" s="124"/>
      <c r="G129" s="124"/>
      <c r="H129" s="132">
        <f t="shared" si="3"/>
        <v>157.7191296883</v>
      </c>
      <c r="I129" s="124"/>
      <c r="J129" s="124"/>
      <c r="L129" s="53" t="s">
        <v>83</v>
      </c>
      <c r="M129" s="74">
        <f>[1]!b_stm07_bs(K107,13,L107,1)</f>
        <v>19930047441.669998</v>
      </c>
      <c r="N129" s="53" t="s">
        <v>84</v>
      </c>
      <c r="O129" s="74">
        <f>[1]!b_stm07_is(K107,10,L107,1)</f>
        <v>7239613078.0799999</v>
      </c>
      <c r="P129" s="131" t="s">
        <v>85</v>
      </c>
      <c r="Q129" s="124"/>
      <c r="R129" s="124"/>
      <c r="S129" s="137">
        <f>[1]!b_stm07_cs(K107,25,L107,1)</f>
        <v>14806872402.74</v>
      </c>
      <c r="T129" s="135"/>
      <c r="U129" s="135"/>
    </row>
    <row r="130" spans="1:21" ht="14.25" customHeight="1" x14ac:dyDescent="0.25">
      <c r="A130" s="53" t="s">
        <v>111</v>
      </c>
      <c r="B130" s="78">
        <f t="shared" si="1"/>
        <v>1002.5587575139</v>
      </c>
      <c r="C130" s="14"/>
      <c r="D130" s="13"/>
      <c r="E130" s="131" t="s">
        <v>112</v>
      </c>
      <c r="F130" s="124"/>
      <c r="G130" s="124"/>
      <c r="H130" s="132">
        <f t="shared" si="3"/>
        <v>324.78023391919999</v>
      </c>
      <c r="I130" s="124"/>
      <c r="J130" s="124"/>
      <c r="L130" s="53" t="s">
        <v>86</v>
      </c>
      <c r="M130" s="74">
        <f>[1]!b_stm07_bs(K107,31,L107,1)</f>
        <v>31286126494.52</v>
      </c>
      <c r="N130" s="53" t="s">
        <v>87</v>
      </c>
      <c r="O130" s="74">
        <f>[1]!b_stm07_is(K107,12,L107,1)</f>
        <v>43178607.240000002</v>
      </c>
      <c r="P130" s="131" t="s">
        <v>88</v>
      </c>
      <c r="Q130" s="124"/>
      <c r="R130" s="124"/>
      <c r="S130" s="136">
        <f>[1]!b_stm07_cs(K107,26,L107,1)</f>
        <v>9831662411.25</v>
      </c>
      <c r="T130" s="135"/>
      <c r="U130" s="135"/>
    </row>
    <row r="131" spans="1:21" ht="14.25" customHeight="1" x14ac:dyDescent="0.25">
      <c r="A131" s="15" t="s">
        <v>113</v>
      </c>
      <c r="B131" s="78">
        <f t="shared" si="1"/>
        <v>1883.4014381560999</v>
      </c>
      <c r="C131" s="14"/>
      <c r="D131" s="13"/>
      <c r="E131" s="131" t="s">
        <v>114</v>
      </c>
      <c r="F131" s="124"/>
      <c r="G131" s="124"/>
      <c r="H131" s="133">
        <f t="shared" si="3"/>
        <v>32.846252241100004</v>
      </c>
      <c r="I131" s="124"/>
      <c r="J131" s="124"/>
      <c r="L131" s="53" t="s">
        <v>89</v>
      </c>
      <c r="M131" s="74">
        <f>[1]!b_stm07_bs(K107,33,L107,1)</f>
        <v>1686196921.47</v>
      </c>
      <c r="N131" s="53" t="s">
        <v>90</v>
      </c>
      <c r="O131" s="74">
        <f>[1]!b_stm07_is(K107,13,L107,1)</f>
        <v>409386351.08999997</v>
      </c>
      <c r="P131" s="131" t="s">
        <v>91</v>
      </c>
      <c r="Q131" s="124"/>
      <c r="R131" s="124"/>
      <c r="S131" s="136">
        <f>[1]!b_stm07_cs(K107,29,L107,1)</f>
        <v>8264483753.96</v>
      </c>
      <c r="T131" s="135"/>
      <c r="U131" s="135"/>
    </row>
    <row r="132" spans="1:21" x14ac:dyDescent="0.25">
      <c r="L132" s="53" t="s">
        <v>92</v>
      </c>
      <c r="M132" s="74">
        <f>[1]!b_stm07_bs(K107,37,L107,1)</f>
        <v>2910623414.9299998</v>
      </c>
      <c r="N132" s="53" t="s">
        <v>93</v>
      </c>
      <c r="O132" s="74">
        <f>[1]!b_stm07_is(K107,14,L107,1)</f>
        <v>333966974.38</v>
      </c>
      <c r="P132" s="131" t="s">
        <v>94</v>
      </c>
      <c r="Q132" s="124"/>
      <c r="R132" s="124"/>
      <c r="S132" s="137">
        <f>[1]!b_stm07_cs(K107,37,L107,1)</f>
        <v>18614304002.759998</v>
      </c>
      <c r="T132" s="135"/>
      <c r="U132" s="135"/>
    </row>
    <row r="133" spans="1:21" x14ac:dyDescent="0.25">
      <c r="L133" s="53" t="s">
        <v>95</v>
      </c>
      <c r="M133" s="80">
        <f>[1]!b_stm07_bs(K107,74,L107,1)</f>
        <v>188340143815.60999</v>
      </c>
      <c r="N133" s="53" t="s">
        <v>96</v>
      </c>
      <c r="O133" s="74">
        <f>[1]!b_stm07_is(K107,48,L107,1)</f>
        <v>1167478935.1600001</v>
      </c>
      <c r="P133" s="131" t="s">
        <v>97</v>
      </c>
      <c r="Q133" s="124"/>
      <c r="R133" s="124"/>
      <c r="S133" s="137">
        <f>[1]!b_stm07_cs(K107,39,L107,1)</f>
        <v>-3807431600.02</v>
      </c>
      <c r="T133" s="135"/>
      <c r="U133" s="135"/>
    </row>
    <row r="134" spans="1:21" x14ac:dyDescent="0.25">
      <c r="L134" s="53" t="s">
        <v>98</v>
      </c>
      <c r="M134" s="74">
        <f>[1]!b_stm07_bs(K107,75,L107,1)</f>
        <v>4880662343.3699999</v>
      </c>
      <c r="N134" s="53" t="s">
        <v>99</v>
      </c>
      <c r="O134" s="74">
        <f>[1]!b_stm07_is(K107,55,L107,1)</f>
        <v>1158756505.9200001</v>
      </c>
      <c r="P134" s="131" t="s">
        <v>100</v>
      </c>
      <c r="Q134" s="124"/>
      <c r="R134" s="124"/>
      <c r="S134" s="137">
        <f>[1]!b_stm07_cs(K107,59,L107,1)</f>
        <v>-1297030842.03</v>
      </c>
      <c r="T134" s="135"/>
      <c r="U134" s="135"/>
    </row>
    <row r="135" spans="1:21" ht="32.4" customHeight="1" x14ac:dyDescent="0.25">
      <c r="L135" s="53" t="s">
        <v>101</v>
      </c>
      <c r="M135" s="74">
        <f>[1]!b_stm07_bs(K107,88,L107,1)</f>
        <v>7751562658.7600002</v>
      </c>
      <c r="N135" s="53" t="s">
        <v>43</v>
      </c>
      <c r="O135" s="74">
        <f>[1]!b_stm07_is(K107,60,L107,1)</f>
        <v>961695691.64999998</v>
      </c>
      <c r="P135" s="131" t="s">
        <v>102</v>
      </c>
      <c r="Q135" s="124"/>
      <c r="R135" s="124"/>
      <c r="S135" s="136">
        <f>[1]!b_stm07_cs(K107,60,L107,1)</f>
        <v>85735000</v>
      </c>
      <c r="T135" s="135"/>
      <c r="U135" s="135"/>
    </row>
    <row r="136" spans="1:21" ht="21.6" customHeight="1" x14ac:dyDescent="0.25">
      <c r="L136" s="53" t="s">
        <v>103</v>
      </c>
      <c r="M136" s="74">
        <f>[1]!b_stm07_bs(K107,147,L107,1)</f>
        <v>0</v>
      </c>
      <c r="N136" s="53"/>
      <c r="O136" s="79"/>
      <c r="P136" s="131" t="s">
        <v>104</v>
      </c>
      <c r="Q136" s="124"/>
      <c r="R136" s="124"/>
      <c r="S136" s="136">
        <f>[1]!b_stm07_cs(K107,61,L107,1)</f>
        <v>19087069888.09</v>
      </c>
      <c r="T136" s="135"/>
      <c r="U136" s="135"/>
    </row>
    <row r="137" spans="1:21" x14ac:dyDescent="0.25">
      <c r="L137" s="53" t="s">
        <v>105</v>
      </c>
      <c r="M137" s="74">
        <f>[1]!b_stm07_bs(K107,94,L107,1)</f>
        <v>24133871190.990002</v>
      </c>
      <c r="N137" s="53"/>
      <c r="O137" s="79"/>
      <c r="P137" s="131" t="s">
        <v>106</v>
      </c>
      <c r="Q137" s="124"/>
      <c r="R137" s="124"/>
      <c r="S137" s="136">
        <f>[1]!b_stm07_cs(K107,63,L107,1)</f>
        <v>11283569600</v>
      </c>
      <c r="T137" s="135"/>
      <c r="U137" s="135"/>
    </row>
    <row r="138" spans="1:21" x14ac:dyDescent="0.25">
      <c r="L138" s="53" t="s">
        <v>107</v>
      </c>
      <c r="M138" s="74">
        <f>[1]!b_stm07_bs(K107,95,L107,1)</f>
        <v>29175291797.040001</v>
      </c>
      <c r="N138" s="53"/>
      <c r="O138" s="79"/>
      <c r="P138" s="131" t="s">
        <v>108</v>
      </c>
      <c r="Q138" s="124"/>
      <c r="R138" s="124"/>
      <c r="S138" s="137">
        <f>[1]!b_stm07_cs(K107,68,L107,1)</f>
        <v>35762648616.029999</v>
      </c>
      <c r="T138" s="135"/>
      <c r="U138" s="135"/>
    </row>
    <row r="139" spans="1:21" x14ac:dyDescent="0.25">
      <c r="L139" s="53" t="s">
        <v>109</v>
      </c>
      <c r="M139" s="80">
        <f>[1]!b_stm07_bs(K107,128,L107,1)</f>
        <v>88084268064.220001</v>
      </c>
      <c r="N139" s="14"/>
      <c r="O139" s="13"/>
      <c r="P139" s="131" t="s">
        <v>110</v>
      </c>
      <c r="Q139" s="124"/>
      <c r="R139" s="124"/>
      <c r="S139" s="136">
        <f>[1]!b_stm07_cs(K107,69,L107,1)</f>
        <v>15771912968.83</v>
      </c>
      <c r="T139" s="135"/>
      <c r="U139" s="135"/>
    </row>
    <row r="140" spans="1:21" ht="21.6" customHeight="1" x14ac:dyDescent="0.25">
      <c r="L140" s="53" t="s">
        <v>111</v>
      </c>
      <c r="M140" s="80">
        <f>[1]!b_stm07_bs(K107,141,L107,1)</f>
        <v>100255875751.39</v>
      </c>
      <c r="N140" s="14"/>
      <c r="O140" s="13"/>
      <c r="P140" s="131" t="s">
        <v>112</v>
      </c>
      <c r="Q140" s="124"/>
      <c r="R140" s="124"/>
      <c r="S140" s="136">
        <f>[1]!b_stm07_cs(K107,75,L107,1)</f>
        <v>32478023391.919998</v>
      </c>
      <c r="T140" s="135"/>
      <c r="U140" s="135"/>
    </row>
    <row r="141" spans="1:21" ht="21.6" customHeight="1" x14ac:dyDescent="0.25">
      <c r="L141" s="15" t="s">
        <v>113</v>
      </c>
      <c r="M141" s="80">
        <f>[1]!b_stm07_bs(K107,145,L107,1)</f>
        <v>188340143815.60999</v>
      </c>
      <c r="N141" s="14"/>
      <c r="O141" s="13"/>
      <c r="P141" s="131" t="s">
        <v>114</v>
      </c>
      <c r="Q141" s="124"/>
      <c r="R141" s="124"/>
      <c r="S141" s="137">
        <f>[1]!b_stm07_cs(K107,77,L107,1)</f>
        <v>3284625224.1100001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311</v>
      </c>
      <c r="C2" s="120"/>
      <c r="D2" s="56" t="s">
        <v>3</v>
      </c>
      <c r="E2" s="119" t="s">
        <v>312</v>
      </c>
      <c r="F2" s="120"/>
      <c r="G2" s="120"/>
    </row>
    <row r="3" spans="1:12" ht="14.25" customHeight="1" x14ac:dyDescent="0.25">
      <c r="A3" s="56" t="s">
        <v>4</v>
      </c>
      <c r="B3" s="119" t="s">
        <v>313</v>
      </c>
      <c r="C3" s="120"/>
      <c r="D3" s="56" t="s">
        <v>5</v>
      </c>
      <c r="E3" s="119" t="s">
        <v>314</v>
      </c>
      <c r="F3" s="120"/>
      <c r="G3" s="120"/>
    </row>
    <row r="4" spans="1:12" ht="113.25" customHeight="1" x14ac:dyDescent="0.25">
      <c r="A4" s="56" t="s">
        <v>6</v>
      </c>
      <c r="B4" s="121" t="s">
        <v>315</v>
      </c>
      <c r="C4" s="120"/>
      <c r="D4" s="120"/>
      <c r="E4" s="120"/>
      <c r="F4" s="120"/>
      <c r="G4" s="120"/>
    </row>
    <row r="5" spans="1:12" ht="14.4" x14ac:dyDescent="0.25">
      <c r="A5" s="81" t="s">
        <v>115</v>
      </c>
      <c r="B5" s="140" t="s">
        <v>316</v>
      </c>
      <c r="C5" s="120"/>
      <c r="D5" s="120"/>
      <c r="E5" s="120"/>
      <c r="F5" s="141">
        <v>1</v>
      </c>
      <c r="G5" s="120"/>
    </row>
    <row r="6" spans="1:12" ht="11.25" customHeight="1" x14ac:dyDescent="0.25">
      <c r="A6" s="81" t="s">
        <v>116</v>
      </c>
      <c r="B6" s="140" t="s">
        <v>317</v>
      </c>
      <c r="C6" s="120"/>
      <c r="D6" s="120"/>
      <c r="E6" s="120"/>
      <c r="F6" s="141" t="s">
        <v>317</v>
      </c>
      <c r="G6" s="120"/>
    </row>
    <row r="7" spans="1:12" ht="11.25" customHeight="1" x14ac:dyDescent="0.25">
      <c r="A7" s="81" t="s">
        <v>117</v>
      </c>
      <c r="B7" s="140" t="s">
        <v>317</v>
      </c>
      <c r="C7" s="120"/>
      <c r="D7" s="120"/>
      <c r="E7" s="120"/>
      <c r="F7" s="141" t="s">
        <v>317</v>
      </c>
      <c r="G7" s="120"/>
    </row>
    <row r="8" spans="1:12" ht="11.25" customHeight="1" x14ac:dyDescent="0.25">
      <c r="A8" s="81" t="s">
        <v>118</v>
      </c>
      <c r="B8" s="140" t="s">
        <v>317</v>
      </c>
      <c r="C8" s="120"/>
      <c r="D8" s="120"/>
      <c r="E8" s="120"/>
      <c r="F8" s="141" t="s">
        <v>317</v>
      </c>
      <c r="G8" s="120"/>
    </row>
    <row r="9" spans="1:12" ht="11.25" customHeight="1" x14ac:dyDescent="0.25">
      <c r="A9" s="81" t="s">
        <v>119</v>
      </c>
      <c r="B9" s="140" t="s">
        <v>317</v>
      </c>
      <c r="C9" s="120"/>
      <c r="D9" s="120"/>
      <c r="E9" s="120"/>
      <c r="F9" s="141" t="s">
        <v>317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4.88</v>
      </c>
      <c r="E13" s="63">
        <v>2.959016393442623</v>
      </c>
      <c r="F13" s="64">
        <v>0</v>
      </c>
      <c r="G13" s="63">
        <v>10</v>
      </c>
    </row>
    <row r="14" spans="1:12" ht="14.4" customHeight="1" x14ac:dyDescent="0.25">
      <c r="A14" t="s">
        <v>124</v>
      </c>
      <c r="B14" t="s">
        <v>125</v>
      </c>
      <c r="C14" t="s">
        <v>126</v>
      </c>
      <c r="D14" s="63">
        <v>5</v>
      </c>
      <c r="E14" s="82">
        <v>1.7698630136986302</v>
      </c>
      <c r="F14">
        <v>0</v>
      </c>
      <c r="G14" s="63">
        <v>5</v>
      </c>
    </row>
    <row r="15" spans="1:12" ht="14.4" customHeight="1" x14ac:dyDescent="0.25">
      <c r="A15" t="s">
        <v>127</v>
      </c>
      <c r="B15" t="s">
        <v>128</v>
      </c>
      <c r="C15" t="s">
        <v>129</v>
      </c>
      <c r="D15" s="63">
        <v>5.5</v>
      </c>
      <c r="E15" s="82">
        <v>1.6273972602739726</v>
      </c>
      <c r="F15">
        <v>0</v>
      </c>
      <c r="G15" s="63">
        <v>5</v>
      </c>
    </row>
    <row r="16" spans="1:12" ht="14.4" customHeight="1" x14ac:dyDescent="0.25">
      <c r="A16" t="s">
        <v>130</v>
      </c>
      <c r="B16" t="s">
        <v>131</v>
      </c>
      <c r="C16" t="s">
        <v>132</v>
      </c>
      <c r="D16" s="63">
        <v>3.97</v>
      </c>
      <c r="E16" s="82">
        <v>0.36438356164383562</v>
      </c>
      <c r="F16">
        <v>0</v>
      </c>
      <c r="G16" s="63">
        <v>5</v>
      </c>
    </row>
    <row r="17" spans="1:7" ht="14.4" customHeight="1" x14ac:dyDescent="0.25">
      <c r="A17" t="s">
        <v>133</v>
      </c>
      <c r="B17" t="s">
        <v>134</v>
      </c>
      <c r="C17" t="s">
        <v>135</v>
      </c>
      <c r="D17" s="63">
        <v>7.5</v>
      </c>
      <c r="E17" s="82">
        <v>2.5287671232876714</v>
      </c>
      <c r="F17" t="s">
        <v>25</v>
      </c>
      <c r="G17" s="63">
        <v>5</v>
      </c>
    </row>
    <row r="18" spans="1:7" ht="14.4" customHeight="1" x14ac:dyDescent="0.25">
      <c r="A18" t="s">
        <v>136</v>
      </c>
      <c r="B18" t="s">
        <v>137</v>
      </c>
      <c r="C18" t="s">
        <v>138</v>
      </c>
      <c r="D18" s="63">
        <v>5.12</v>
      </c>
      <c r="E18" s="82">
        <v>0</v>
      </c>
      <c r="F18">
        <v>0</v>
      </c>
      <c r="G18" s="63">
        <v>5</v>
      </c>
    </row>
    <row r="19" spans="1:7" ht="14.4" customHeight="1" x14ac:dyDescent="0.25">
      <c r="A19" t="s">
        <v>139</v>
      </c>
      <c r="B19" t="s">
        <v>140</v>
      </c>
      <c r="C19" t="s">
        <v>141</v>
      </c>
      <c r="D19" s="63">
        <v>7.23</v>
      </c>
      <c r="E19" s="82">
        <v>1.8301369863013699</v>
      </c>
      <c r="F19" t="s">
        <v>25</v>
      </c>
      <c r="G19" s="63">
        <v>5</v>
      </c>
    </row>
    <row r="20" spans="1:7" ht="14.4" customHeight="1" x14ac:dyDescent="0.25">
      <c r="A20" t="s">
        <v>142</v>
      </c>
      <c r="B20" t="s">
        <v>143</v>
      </c>
      <c r="C20" t="s">
        <v>144</v>
      </c>
      <c r="D20" s="63">
        <v>5.49</v>
      </c>
      <c r="E20" s="82">
        <v>1.3589041095890411</v>
      </c>
      <c r="F20">
        <v>0</v>
      </c>
      <c r="G20" s="63">
        <v>10</v>
      </c>
    </row>
    <row r="21" spans="1:7" ht="14.4" customHeight="1" x14ac:dyDescent="0.25">
      <c r="A21" t="s">
        <v>145</v>
      </c>
      <c r="B21" t="s">
        <v>146</v>
      </c>
      <c r="C21" t="s">
        <v>147</v>
      </c>
      <c r="D21" s="63">
        <v>5.28</v>
      </c>
      <c r="E21" s="82">
        <v>5.3315068493150681</v>
      </c>
      <c r="F21" t="s">
        <v>318</v>
      </c>
      <c r="G21" s="63">
        <v>15</v>
      </c>
    </row>
    <row r="22" spans="1:7" ht="14.4" customHeight="1" x14ac:dyDescent="0.25">
      <c r="A22" t="s">
        <v>148</v>
      </c>
      <c r="B22" t="s">
        <v>146</v>
      </c>
      <c r="C22" t="s">
        <v>149</v>
      </c>
      <c r="D22" s="63">
        <v>5.28</v>
      </c>
      <c r="E22" s="82">
        <v>5.3315068493150681</v>
      </c>
      <c r="F22" t="s">
        <v>318</v>
      </c>
      <c r="G22" s="63">
        <v>15</v>
      </c>
    </row>
    <row r="23" spans="1:7" ht="14.4" customHeight="1" x14ac:dyDescent="0.25">
      <c r="A23" t="s">
        <v>150</v>
      </c>
      <c r="B23" t="s">
        <v>151</v>
      </c>
      <c r="C23" t="s">
        <v>152</v>
      </c>
      <c r="D23" s="63">
        <v>4.8</v>
      </c>
      <c r="E23" s="82">
        <v>2.6575342465753424</v>
      </c>
      <c r="F23">
        <v>0</v>
      </c>
      <c r="G23" s="63">
        <v>8</v>
      </c>
    </row>
    <row r="24" spans="1:7" ht="14.4" customHeight="1" x14ac:dyDescent="0.25">
      <c r="A24" t="s">
        <v>153</v>
      </c>
      <c r="B24" t="s">
        <v>154</v>
      </c>
      <c r="C24" t="s">
        <v>155</v>
      </c>
      <c r="D24" s="63">
        <v>3.98</v>
      </c>
      <c r="E24" s="82">
        <v>2.5424657534246577</v>
      </c>
      <c r="F24">
        <v>0</v>
      </c>
      <c r="G24" s="63">
        <v>6</v>
      </c>
    </row>
    <row r="25" spans="1:7" ht="14.4" customHeight="1" x14ac:dyDescent="0.25">
      <c r="A25" t="s">
        <v>156</v>
      </c>
      <c r="B25" t="s">
        <v>157</v>
      </c>
      <c r="C25" t="s">
        <v>158</v>
      </c>
      <c r="D25" s="63">
        <v>3.65</v>
      </c>
      <c r="E25" s="82">
        <v>0.50410958904109593</v>
      </c>
      <c r="F25" t="s">
        <v>25</v>
      </c>
      <c r="G25" s="63">
        <v>4</v>
      </c>
    </row>
    <row r="26" spans="1:7" ht="14.4" customHeight="1" x14ac:dyDescent="0.25">
      <c r="A26" t="s">
        <v>159</v>
      </c>
      <c r="B26" t="s">
        <v>160</v>
      </c>
      <c r="C26" t="s">
        <v>161</v>
      </c>
      <c r="D26" s="63">
        <v>3.68</v>
      </c>
      <c r="E26" s="82">
        <v>2.3479452054794523</v>
      </c>
      <c r="F26">
        <v>0</v>
      </c>
      <c r="G26" s="63">
        <v>4</v>
      </c>
    </row>
    <row r="27" spans="1:7" ht="14.4" customHeight="1" x14ac:dyDescent="0.25">
      <c r="A27" t="s">
        <v>162</v>
      </c>
      <c r="B27" t="s">
        <v>160</v>
      </c>
      <c r="C27" t="s">
        <v>163</v>
      </c>
      <c r="D27" s="63">
        <v>4.3</v>
      </c>
      <c r="E27" s="82">
        <v>2.3479452054794523</v>
      </c>
      <c r="F27">
        <v>0</v>
      </c>
      <c r="G27" s="63">
        <v>5</v>
      </c>
    </row>
    <row r="28" spans="1:7" ht="14.4" customHeight="1" x14ac:dyDescent="0.25">
      <c r="A28" t="s">
        <v>164</v>
      </c>
      <c r="B28" t="s">
        <v>165</v>
      </c>
      <c r="C28" t="s">
        <v>166</v>
      </c>
      <c r="D28" s="63">
        <v>4.4800000000000004</v>
      </c>
      <c r="E28" s="82">
        <v>2.2739726027397262</v>
      </c>
      <c r="F28">
        <v>0</v>
      </c>
      <c r="G28" s="63">
        <v>7</v>
      </c>
    </row>
    <row r="29" spans="1:7" ht="14.4" customHeight="1" x14ac:dyDescent="0.25">
      <c r="A29" t="s">
        <v>167</v>
      </c>
      <c r="B29" t="s">
        <v>168</v>
      </c>
      <c r="C29" t="s">
        <v>169</v>
      </c>
      <c r="D29" s="63">
        <v>4.99</v>
      </c>
      <c r="E29" s="82">
        <v>2.2273972602739724</v>
      </c>
      <c r="F29">
        <v>0</v>
      </c>
      <c r="G29" s="63">
        <v>6</v>
      </c>
    </row>
    <row r="30" spans="1:7" ht="14.4" customHeight="1" x14ac:dyDescent="0.25">
      <c r="A30" t="s">
        <v>170</v>
      </c>
      <c r="B30" t="s">
        <v>171</v>
      </c>
      <c r="C30" t="s">
        <v>172</v>
      </c>
      <c r="D30" s="63">
        <v>4.9000000000000004</v>
      </c>
      <c r="E30" s="82">
        <v>2.0575342465753423</v>
      </c>
      <c r="F30">
        <v>0</v>
      </c>
      <c r="G30" s="63">
        <v>3</v>
      </c>
    </row>
    <row r="31" spans="1:7" ht="14.4" customHeight="1" x14ac:dyDescent="0.25">
      <c r="A31" t="s">
        <v>173</v>
      </c>
      <c r="B31" t="s">
        <v>174</v>
      </c>
      <c r="C31" t="s">
        <v>175</v>
      </c>
      <c r="D31" s="63">
        <v>4.45</v>
      </c>
      <c r="E31" s="82">
        <v>0</v>
      </c>
      <c r="F31">
        <v>0</v>
      </c>
      <c r="G31" s="63">
        <v>10</v>
      </c>
    </row>
    <row r="32" spans="1:7" ht="14.4" customHeight="1" x14ac:dyDescent="0.25">
      <c r="A32" t="s">
        <v>176</v>
      </c>
      <c r="B32" t="s">
        <v>177</v>
      </c>
      <c r="C32" t="s">
        <v>178</v>
      </c>
      <c r="D32" s="63">
        <v>4.3899999999999997</v>
      </c>
      <c r="E32" s="82">
        <v>1.7753424657534247</v>
      </c>
      <c r="F32" t="s">
        <v>25</v>
      </c>
      <c r="G32" s="63">
        <v>6</v>
      </c>
    </row>
    <row r="33" spans="1:7" ht="14.4" customHeight="1" x14ac:dyDescent="0.25">
      <c r="A33" t="s">
        <v>179</v>
      </c>
      <c r="B33" t="s">
        <v>180</v>
      </c>
      <c r="C33" t="s">
        <v>181</v>
      </c>
      <c r="D33" s="63">
        <v>5.5</v>
      </c>
      <c r="E33" s="82">
        <v>1.6767123287671233</v>
      </c>
      <c r="F33">
        <v>0</v>
      </c>
      <c r="G33" s="63">
        <v>8</v>
      </c>
    </row>
    <row r="34" spans="1:7" ht="14.4" customHeight="1" x14ac:dyDescent="0.25">
      <c r="A34" t="s">
        <v>182</v>
      </c>
      <c r="B34" t="s">
        <v>183</v>
      </c>
      <c r="C34" t="s">
        <v>184</v>
      </c>
      <c r="D34" s="63">
        <v>7.4</v>
      </c>
      <c r="E34" s="82">
        <v>0</v>
      </c>
      <c r="F34">
        <v>0</v>
      </c>
      <c r="G34" s="63">
        <v>2.5</v>
      </c>
    </row>
    <row r="35" spans="1:7" ht="14.4" customHeight="1" x14ac:dyDescent="0.25">
      <c r="A35" t="s">
        <v>185</v>
      </c>
      <c r="B35" t="s">
        <v>186</v>
      </c>
      <c r="C35" t="s">
        <v>187</v>
      </c>
      <c r="D35" s="63">
        <v>4.7</v>
      </c>
      <c r="E35" s="82">
        <v>1.4356164383561643</v>
      </c>
      <c r="F35" t="s">
        <v>25</v>
      </c>
      <c r="G35" s="63">
        <v>10</v>
      </c>
    </row>
    <row r="36" spans="1:7" ht="14.4" customHeight="1" x14ac:dyDescent="0.25">
      <c r="A36" t="s">
        <v>188</v>
      </c>
      <c r="B36" t="s">
        <v>189</v>
      </c>
      <c r="C36" t="s">
        <v>190</v>
      </c>
      <c r="D36" s="63">
        <v>7.5</v>
      </c>
      <c r="E36" s="82">
        <v>0</v>
      </c>
      <c r="F36">
        <v>0</v>
      </c>
      <c r="G36" s="63">
        <v>1.8</v>
      </c>
    </row>
    <row r="37" spans="1:7" ht="14.4" customHeight="1" x14ac:dyDescent="0.25">
      <c r="A37" t="s">
        <v>191</v>
      </c>
      <c r="B37" t="s">
        <v>192</v>
      </c>
      <c r="C37" t="s">
        <v>193</v>
      </c>
      <c r="D37" s="63">
        <v>5.83</v>
      </c>
      <c r="E37" s="82">
        <v>1.0328767123287672</v>
      </c>
      <c r="F37" t="s">
        <v>25</v>
      </c>
      <c r="G37" s="63">
        <v>10</v>
      </c>
    </row>
    <row r="38" spans="1:7" ht="14.4" customHeight="1" x14ac:dyDescent="0.25">
      <c r="A38" t="s">
        <v>194</v>
      </c>
      <c r="B38" t="s">
        <v>195</v>
      </c>
      <c r="C38" t="s">
        <v>196</v>
      </c>
      <c r="D38" s="63">
        <v>9.5</v>
      </c>
      <c r="E38" s="82">
        <v>0</v>
      </c>
      <c r="F38">
        <v>0</v>
      </c>
      <c r="G38" s="63">
        <v>1.5</v>
      </c>
    </row>
    <row r="39" spans="1:7" ht="14.4" customHeight="1" x14ac:dyDescent="0.25">
      <c r="A39" t="s">
        <v>197</v>
      </c>
      <c r="B39" t="s">
        <v>198</v>
      </c>
      <c r="C39" t="s">
        <v>199</v>
      </c>
      <c r="D39" s="63">
        <v>11</v>
      </c>
      <c r="E39" s="82">
        <v>0</v>
      </c>
      <c r="F39" t="s">
        <v>319</v>
      </c>
      <c r="G39" s="63">
        <v>1</v>
      </c>
    </row>
    <row r="40" spans="1:7" ht="14.4" customHeight="1" x14ac:dyDescent="0.25">
      <c r="A40" t="s">
        <v>200</v>
      </c>
      <c r="B40" t="s">
        <v>201</v>
      </c>
      <c r="C40" t="s">
        <v>202</v>
      </c>
      <c r="D40" s="63">
        <v>11</v>
      </c>
      <c r="E40" s="82">
        <v>0</v>
      </c>
      <c r="F40" t="s">
        <v>319</v>
      </c>
      <c r="G40" s="63">
        <v>2</v>
      </c>
    </row>
    <row r="41" spans="1:7" ht="14.4" customHeight="1" x14ac:dyDescent="0.25">
      <c r="A41" t="s">
        <v>203</v>
      </c>
      <c r="B41" t="s">
        <v>204</v>
      </c>
      <c r="C41" t="s">
        <v>205</v>
      </c>
      <c r="D41" s="63">
        <v>8.5</v>
      </c>
      <c r="E41" s="82">
        <v>0</v>
      </c>
      <c r="F41">
        <v>0</v>
      </c>
      <c r="G41" s="63">
        <v>0.9</v>
      </c>
    </row>
    <row r="42" spans="1:7" ht="14.4" customHeight="1" x14ac:dyDescent="0.25">
      <c r="A42" t="s">
        <v>206</v>
      </c>
      <c r="B42" t="s">
        <v>207</v>
      </c>
      <c r="C42" t="s">
        <v>208</v>
      </c>
      <c r="D42" s="63">
        <v>8.5</v>
      </c>
      <c r="E42" s="82">
        <v>0</v>
      </c>
      <c r="F42">
        <v>0</v>
      </c>
      <c r="G42" s="63">
        <v>1.1000000000000001</v>
      </c>
    </row>
    <row r="43" spans="1:7" ht="14.4" customHeight="1" x14ac:dyDescent="0.25">
      <c r="A43" t="s">
        <v>209</v>
      </c>
      <c r="B43" t="s">
        <v>210</v>
      </c>
      <c r="C43" t="s">
        <v>211</v>
      </c>
      <c r="D43" s="63">
        <v>8.25</v>
      </c>
      <c r="E43" s="82">
        <v>0</v>
      </c>
      <c r="F43" t="s">
        <v>25</v>
      </c>
      <c r="G43" s="63">
        <v>16</v>
      </c>
    </row>
    <row r="44" spans="1:7" ht="14.4" customHeight="1" x14ac:dyDescent="0.25">
      <c r="A44" t="s">
        <v>212</v>
      </c>
      <c r="B44" t="s">
        <v>210</v>
      </c>
      <c r="C44" t="s">
        <v>213</v>
      </c>
      <c r="D44" s="63">
        <v>8.25</v>
      </c>
      <c r="E44" s="82">
        <v>0</v>
      </c>
      <c r="F44" t="s">
        <v>25</v>
      </c>
      <c r="G44" s="63">
        <v>16</v>
      </c>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1:7" ht="14.4" customHeight="1" x14ac:dyDescent="0.25">
      <c r="D49" s="63"/>
      <c r="E49" s="82"/>
      <c r="G49" s="63"/>
    </row>
    <row r="50" spans="1:7" ht="14.4" customHeight="1" x14ac:dyDescent="0.25">
      <c r="A50" s="143" t="s">
        <v>214</v>
      </c>
      <c r="B50" s="143"/>
      <c r="C50" s="143"/>
      <c r="D50" s="143"/>
      <c r="E50" s="82"/>
      <c r="G50" s="63"/>
    </row>
    <row r="51" spans="1:7" ht="14.4" customHeight="1" x14ac:dyDescent="0.25">
      <c r="A51" s="83" t="s">
        <v>215</v>
      </c>
      <c r="B51" s="83" t="s">
        <v>216</v>
      </c>
      <c r="C51" s="83" t="s">
        <v>217</v>
      </c>
      <c r="D51" s="84" t="s">
        <v>218</v>
      </c>
      <c r="E51" s="82"/>
      <c r="G51" s="63"/>
    </row>
    <row r="52" spans="1:7" ht="14.4" customHeight="1" x14ac:dyDescent="0.25">
      <c r="A52" t="s">
        <v>219</v>
      </c>
      <c r="B52" t="s">
        <v>25</v>
      </c>
      <c r="C52" t="s">
        <v>220</v>
      </c>
      <c r="D52" s="63" t="s">
        <v>221</v>
      </c>
      <c r="E52" s="82"/>
      <c r="G52" s="63"/>
    </row>
    <row r="53" spans="1:7" ht="14.4" customHeight="1" x14ac:dyDescent="0.25">
      <c r="A53" t="s">
        <v>222</v>
      </c>
      <c r="B53" t="s">
        <v>25</v>
      </c>
      <c r="C53" t="s">
        <v>220</v>
      </c>
      <c r="D53" s="63" t="s">
        <v>221</v>
      </c>
      <c r="E53" s="82"/>
      <c r="G53" s="63"/>
    </row>
    <row r="54" spans="1:7" ht="14.4" customHeight="1" x14ac:dyDescent="0.25">
      <c r="A54" t="s">
        <v>223</v>
      </c>
      <c r="B54" t="s">
        <v>25</v>
      </c>
      <c r="C54" t="s">
        <v>220</v>
      </c>
      <c r="D54" s="63" t="s">
        <v>224</v>
      </c>
      <c r="E54" s="82"/>
      <c r="G54" s="63"/>
    </row>
    <row r="55" spans="1:7" ht="14.4" customHeight="1" x14ac:dyDescent="0.25">
      <c r="A55" t="s">
        <v>225</v>
      </c>
      <c r="B55" t="s">
        <v>25</v>
      </c>
      <c r="C55" t="s">
        <v>220</v>
      </c>
      <c r="D55" s="63" t="s">
        <v>221</v>
      </c>
      <c r="E55" s="82"/>
      <c r="G55" s="63"/>
    </row>
    <row r="56" spans="1:7" ht="14.4" customHeight="1" x14ac:dyDescent="0.25">
      <c r="A56" t="s">
        <v>226</v>
      </c>
      <c r="B56" t="s">
        <v>25</v>
      </c>
      <c r="C56" t="s">
        <v>220</v>
      </c>
      <c r="D56" s="63" t="s">
        <v>221</v>
      </c>
      <c r="E56" s="82"/>
      <c r="G56" s="63"/>
    </row>
    <row r="57" spans="1:7" ht="14.4" customHeight="1" x14ac:dyDescent="0.25">
      <c r="A57" t="s">
        <v>227</v>
      </c>
      <c r="B57" t="s">
        <v>25</v>
      </c>
      <c r="C57" t="s">
        <v>220</v>
      </c>
      <c r="D57" s="63" t="s">
        <v>221</v>
      </c>
      <c r="E57" s="82"/>
      <c r="G57" s="63"/>
    </row>
    <row r="58" spans="1:7" ht="14.4" customHeight="1" x14ac:dyDescent="0.25">
      <c r="A58" t="s">
        <v>228</v>
      </c>
      <c r="B58" t="s">
        <v>25</v>
      </c>
      <c r="C58" t="s">
        <v>220</v>
      </c>
      <c r="D58" s="63" t="s">
        <v>229</v>
      </c>
      <c r="E58" s="82"/>
      <c r="G58" s="63"/>
    </row>
    <row r="59" spans="1:7" ht="14.4" customHeight="1" x14ac:dyDescent="0.25">
      <c r="A59" t="s">
        <v>230</v>
      </c>
      <c r="B59" t="s">
        <v>25</v>
      </c>
      <c r="C59" t="s">
        <v>220</v>
      </c>
      <c r="D59" s="63" t="s">
        <v>221</v>
      </c>
      <c r="E59" s="82"/>
      <c r="G59" s="63"/>
    </row>
    <row r="60" spans="1:7" ht="14.4" customHeight="1" x14ac:dyDescent="0.25">
      <c r="A60" t="s">
        <v>231</v>
      </c>
      <c r="B60" t="s">
        <v>25</v>
      </c>
      <c r="C60" t="s">
        <v>220</v>
      </c>
      <c r="D60" s="63" t="s">
        <v>224</v>
      </c>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232</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0:D5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0.46768700000000002</v>
      </c>
      <c r="C4" s="56" t="s">
        <v>36</v>
      </c>
      <c r="D4" s="86">
        <v>3.4929000000000001</v>
      </c>
      <c r="E4" s="56" t="s">
        <v>41</v>
      </c>
      <c r="F4" s="85">
        <v>0.66180000000000005</v>
      </c>
      <c r="G4" s="56" t="s">
        <v>42</v>
      </c>
      <c r="H4" s="85">
        <v>0.17128199999999999</v>
      </c>
      <c r="I4" s="56"/>
      <c r="J4" s="87"/>
    </row>
    <row r="5" spans="1:10" ht="15.75" customHeight="1" x14ac:dyDescent="0.25">
      <c r="A5" s="56" t="s">
        <v>62</v>
      </c>
      <c r="B5" s="85">
        <v>0.58051299999999995</v>
      </c>
      <c r="C5" s="56" t="s">
        <v>63</v>
      </c>
      <c r="D5" s="86">
        <v>1.7030000000000001</v>
      </c>
      <c r="E5" s="56" t="s">
        <v>64</v>
      </c>
      <c r="F5" s="86">
        <v>1.6877</v>
      </c>
      <c r="G5" s="56" t="s">
        <v>65</v>
      </c>
      <c r="H5" s="85">
        <v>0.13364100000000001</v>
      </c>
      <c r="I5" s="56"/>
      <c r="J5" s="87"/>
    </row>
    <row r="6" spans="1:10" ht="15" customHeight="1" x14ac:dyDescent="0.25">
      <c r="A6" s="56" t="s">
        <v>66</v>
      </c>
      <c r="B6" s="85">
        <v>0.35535899999999998</v>
      </c>
      <c r="C6" s="56" t="s">
        <v>39</v>
      </c>
      <c r="D6" s="88">
        <v>1.8800000000000001E-2</v>
      </c>
      <c r="E6" s="56" t="s">
        <v>67</v>
      </c>
      <c r="F6" s="86">
        <v>0.14929999999999999</v>
      </c>
      <c r="G6" s="56" t="s">
        <v>45</v>
      </c>
      <c r="H6" s="85">
        <v>1.03E-2</v>
      </c>
      <c r="I6" s="56"/>
      <c r="J6" s="87"/>
    </row>
    <row r="7" spans="1:10" ht="14.25" customHeight="1" x14ac:dyDescent="0.25">
      <c r="A7" s="56" t="s">
        <v>38</v>
      </c>
      <c r="B7" s="88">
        <v>0.66583480647192383</v>
      </c>
      <c r="C7" s="56" t="s">
        <v>68</v>
      </c>
      <c r="D7" s="88">
        <v>4.7580999999999998</v>
      </c>
      <c r="E7" s="56" t="s">
        <v>69</v>
      </c>
      <c r="F7" s="86">
        <v>8.7800000000000003E-2</v>
      </c>
      <c r="G7" s="56" t="s">
        <v>70</v>
      </c>
      <c r="H7" s="85">
        <v>8.4499999999999992E-3</v>
      </c>
      <c r="I7" s="56"/>
      <c r="J7" s="87"/>
    </row>
    <row r="8" spans="1:10" x14ac:dyDescent="0.25">
      <c r="A8" s="56"/>
      <c r="B8" s="89"/>
      <c r="C8" s="56"/>
      <c r="D8" s="90"/>
      <c r="E8" s="56" t="s">
        <v>71</v>
      </c>
      <c r="F8" s="86">
        <v>5.0299999999999997E-2</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149.95225823360002</v>
      </c>
      <c r="C12" s="56" t="s">
        <v>78</v>
      </c>
      <c r="D12" s="88">
        <v>87.359187206100003</v>
      </c>
      <c r="E12" s="147" t="s">
        <v>79</v>
      </c>
      <c r="F12" s="120"/>
      <c r="G12" s="120"/>
      <c r="H12" s="148">
        <v>57.810192578299997</v>
      </c>
      <c r="I12" s="120"/>
      <c r="J12" s="120"/>
    </row>
    <row r="13" spans="1:10" ht="14.25" customHeight="1" x14ac:dyDescent="0.25">
      <c r="A13" s="56" t="s">
        <v>80</v>
      </c>
      <c r="B13" s="91">
        <v>61.458516477499998</v>
      </c>
      <c r="C13" s="56" t="s">
        <v>81</v>
      </c>
      <c r="D13" s="88">
        <v>81.711369512299996</v>
      </c>
      <c r="E13" s="147" t="s">
        <v>82</v>
      </c>
      <c r="F13" s="120"/>
      <c r="G13" s="120"/>
      <c r="H13" s="148">
        <v>90.258496211000008</v>
      </c>
      <c r="I13" s="120"/>
      <c r="J13" s="120"/>
    </row>
    <row r="14" spans="1:10" ht="14.25" customHeight="1" x14ac:dyDescent="0.25">
      <c r="A14" s="56" t="s">
        <v>83</v>
      </c>
      <c r="B14" s="91">
        <v>199.30047441669998</v>
      </c>
      <c r="C14" s="56" t="s">
        <v>84</v>
      </c>
      <c r="D14" s="88">
        <v>72.396130780799993</v>
      </c>
      <c r="E14" s="147" t="s">
        <v>85</v>
      </c>
      <c r="F14" s="120"/>
      <c r="G14" s="120"/>
      <c r="H14" s="148">
        <v>148.06872402740001</v>
      </c>
      <c r="I14" s="120"/>
      <c r="J14" s="120"/>
    </row>
    <row r="15" spans="1:10" ht="14.25" customHeight="1" x14ac:dyDescent="0.25">
      <c r="A15" s="56" t="s">
        <v>86</v>
      </c>
      <c r="B15" s="91">
        <v>312.86126494519999</v>
      </c>
      <c r="C15" s="56" t="s">
        <v>87</v>
      </c>
      <c r="D15" s="88">
        <v>0.4317860724</v>
      </c>
      <c r="E15" s="147" t="s">
        <v>88</v>
      </c>
      <c r="F15" s="120"/>
      <c r="G15" s="120"/>
      <c r="H15" s="148">
        <v>98.316624112499994</v>
      </c>
      <c r="I15" s="120"/>
      <c r="J15" s="120"/>
    </row>
    <row r="16" spans="1:10" ht="14.25" customHeight="1" x14ac:dyDescent="0.25">
      <c r="A16" s="56" t="s">
        <v>89</v>
      </c>
      <c r="B16" s="91">
        <v>16.8619692147</v>
      </c>
      <c r="C16" s="56" t="s">
        <v>90</v>
      </c>
      <c r="D16" s="88">
        <v>4.0938635108999994</v>
      </c>
      <c r="E16" s="147" t="s">
        <v>91</v>
      </c>
      <c r="F16" s="120"/>
      <c r="G16" s="120"/>
      <c r="H16" s="148">
        <v>82.644837539600005</v>
      </c>
      <c r="I16" s="120"/>
      <c r="J16" s="120"/>
    </row>
    <row r="17" spans="1:10" ht="14.25" customHeight="1" x14ac:dyDescent="0.25">
      <c r="A17" s="56" t="s">
        <v>92</v>
      </c>
      <c r="B17" s="91">
        <v>29.106234149299997</v>
      </c>
      <c r="C17" s="56" t="s">
        <v>93</v>
      </c>
      <c r="D17" s="88">
        <v>3.3396697438</v>
      </c>
      <c r="E17" s="147" t="s">
        <v>94</v>
      </c>
      <c r="F17" s="120"/>
      <c r="G17" s="120"/>
      <c r="H17" s="148">
        <v>186.14304002759999</v>
      </c>
      <c r="I17" s="120"/>
      <c r="J17" s="120"/>
    </row>
    <row r="18" spans="1:10" ht="14.25" customHeight="1" x14ac:dyDescent="0.25">
      <c r="A18" s="56" t="s">
        <v>95</v>
      </c>
      <c r="B18" s="91">
        <v>1883.4014381560999</v>
      </c>
      <c r="C18" s="56" t="s">
        <v>96</v>
      </c>
      <c r="D18" s="88">
        <v>11.674789351600001</v>
      </c>
      <c r="E18" s="147" t="s">
        <v>97</v>
      </c>
      <c r="F18" s="120"/>
      <c r="G18" s="120"/>
      <c r="H18" s="148">
        <v>-38.0743160002</v>
      </c>
      <c r="I18" s="120"/>
      <c r="J18" s="120"/>
    </row>
    <row r="19" spans="1:10" ht="14.25" customHeight="1" x14ac:dyDescent="0.25">
      <c r="A19" s="56" t="s">
        <v>98</v>
      </c>
      <c r="B19" s="91">
        <v>48.806623433699997</v>
      </c>
      <c r="C19" s="56" t="s">
        <v>99</v>
      </c>
      <c r="D19" s="88">
        <v>11.587565059200001</v>
      </c>
      <c r="E19" s="147" t="s">
        <v>100</v>
      </c>
      <c r="F19" s="120"/>
      <c r="G19" s="120"/>
      <c r="H19" s="148">
        <v>-12.9703084203</v>
      </c>
      <c r="I19" s="120"/>
      <c r="J19" s="120"/>
    </row>
    <row r="20" spans="1:10" ht="27" customHeight="1" x14ac:dyDescent="0.25">
      <c r="A20" s="56" t="s">
        <v>101</v>
      </c>
      <c r="B20" s="91">
        <v>77.515626587599996</v>
      </c>
      <c r="C20" s="56" t="s">
        <v>43</v>
      </c>
      <c r="D20" s="88">
        <v>9.6169569164999995</v>
      </c>
      <c r="E20" s="147" t="s">
        <v>102</v>
      </c>
      <c r="F20" s="120"/>
      <c r="G20" s="120"/>
      <c r="H20" s="148">
        <v>0.85734999999999995</v>
      </c>
      <c r="I20" s="120"/>
      <c r="J20" s="120"/>
    </row>
    <row r="21" spans="1:10" ht="16.5" customHeight="1" x14ac:dyDescent="0.25">
      <c r="A21" s="56" t="s">
        <v>103</v>
      </c>
      <c r="B21" s="91">
        <v>0</v>
      </c>
      <c r="C21" s="56"/>
      <c r="D21" s="92"/>
      <c r="E21" s="147" t="s">
        <v>104</v>
      </c>
      <c r="F21" s="120"/>
      <c r="G21" s="120"/>
      <c r="H21" s="148">
        <v>190.87069888089999</v>
      </c>
      <c r="I21" s="120"/>
      <c r="J21" s="120"/>
    </row>
    <row r="22" spans="1:10" ht="14.25" customHeight="1" x14ac:dyDescent="0.25">
      <c r="A22" s="56" t="s">
        <v>105</v>
      </c>
      <c r="B22" s="91">
        <v>241.33871190990001</v>
      </c>
      <c r="C22" s="56"/>
      <c r="D22" s="92"/>
      <c r="E22" s="147" t="s">
        <v>106</v>
      </c>
      <c r="F22" s="120"/>
      <c r="G22" s="120"/>
      <c r="H22" s="148">
        <v>112.835696</v>
      </c>
      <c r="I22" s="120"/>
      <c r="J22" s="120"/>
    </row>
    <row r="23" spans="1:10" ht="14.25" customHeight="1" x14ac:dyDescent="0.25">
      <c r="A23" s="56" t="s">
        <v>107</v>
      </c>
      <c r="B23" s="91">
        <v>291.75291797040001</v>
      </c>
      <c r="C23" s="56"/>
      <c r="D23" s="92"/>
      <c r="E23" s="147" t="s">
        <v>108</v>
      </c>
      <c r="F23" s="120"/>
      <c r="G23" s="120"/>
      <c r="H23" s="148">
        <v>357.62648616029998</v>
      </c>
      <c r="I23" s="120"/>
      <c r="J23" s="120"/>
    </row>
    <row r="24" spans="1:10" ht="14.25" customHeight="1" x14ac:dyDescent="0.25">
      <c r="A24" s="56" t="s">
        <v>109</v>
      </c>
      <c r="B24" s="91">
        <v>880.84268064219998</v>
      </c>
      <c r="C24" s="93"/>
      <c r="D24" s="90"/>
      <c r="E24" s="147" t="s">
        <v>110</v>
      </c>
      <c r="F24" s="120"/>
      <c r="G24" s="120"/>
      <c r="H24" s="148">
        <v>157.7191296883</v>
      </c>
      <c r="I24" s="120"/>
      <c r="J24" s="120"/>
    </row>
    <row r="25" spans="1:10" ht="14.25" customHeight="1" x14ac:dyDescent="0.25">
      <c r="A25" s="56" t="s">
        <v>111</v>
      </c>
      <c r="B25" s="91">
        <v>1002.5587575139</v>
      </c>
      <c r="C25" s="93"/>
      <c r="D25" s="90"/>
      <c r="E25" s="147" t="s">
        <v>112</v>
      </c>
      <c r="F25" s="120"/>
      <c r="G25" s="120"/>
      <c r="H25" s="148">
        <v>324.78023391919999</v>
      </c>
      <c r="I25" s="120"/>
      <c r="J25" s="120"/>
    </row>
    <row r="26" spans="1:10" ht="14.25" customHeight="1" x14ac:dyDescent="0.25">
      <c r="A26" s="94" t="s">
        <v>113</v>
      </c>
      <c r="B26" s="91">
        <v>1883.4014381560999</v>
      </c>
      <c r="C26" s="93"/>
      <c r="D26" s="90"/>
      <c r="E26" s="147" t="s">
        <v>114</v>
      </c>
      <c r="F26" s="120"/>
      <c r="G26" s="120"/>
      <c r="H26" s="148">
        <v>32.846252241100004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233</v>
      </c>
      <c r="B1" s="124"/>
      <c r="C1" s="124"/>
      <c r="D1" s="124"/>
      <c r="E1" s="124"/>
      <c r="F1" s="124"/>
      <c r="G1" s="124"/>
      <c r="H1" s="124"/>
      <c r="I1" s="124"/>
    </row>
    <row r="2" spans="1:10" ht="46.5" customHeight="1" x14ac:dyDescent="0.25">
      <c r="A2" s="53" t="s">
        <v>22</v>
      </c>
      <c r="B2" s="43" t="s">
        <v>311</v>
      </c>
      <c r="C2" s="43" t="s">
        <v>234</v>
      </c>
      <c r="D2" s="43" t="s">
        <v>320</v>
      </c>
      <c r="E2" s="43" t="s">
        <v>321</v>
      </c>
      <c r="F2" s="43" t="s">
        <v>322</v>
      </c>
      <c r="G2" s="43" t="s">
        <v>323</v>
      </c>
      <c r="H2" s="43" t="s">
        <v>242</v>
      </c>
      <c r="I2" s="43" t="s">
        <v>324</v>
      </c>
      <c r="J2" s="43" t="s">
        <v>325</v>
      </c>
    </row>
    <row r="3" spans="1:10" x14ac:dyDescent="0.25">
      <c r="A3" s="53" t="s">
        <v>24</v>
      </c>
      <c r="B3" s="96" t="s">
        <v>25</v>
      </c>
      <c r="C3" s="97" t="s">
        <v>235</v>
      </c>
      <c r="D3" s="96" t="s">
        <v>25</v>
      </c>
      <c r="E3" s="96" t="s">
        <v>25</v>
      </c>
      <c r="F3" s="96" t="s">
        <v>25</v>
      </c>
      <c r="G3" s="96" t="s">
        <v>25</v>
      </c>
      <c r="H3" s="96" t="s">
        <v>25</v>
      </c>
      <c r="I3" s="96" t="s">
        <v>25</v>
      </c>
      <c r="J3" s="96" t="s">
        <v>25</v>
      </c>
    </row>
    <row r="4" spans="1:10" s="7" customFormat="1" ht="21.6" x14ac:dyDescent="0.25">
      <c r="A4" s="9" t="s">
        <v>3</v>
      </c>
      <c r="B4" s="98" t="s">
        <v>312</v>
      </c>
      <c r="C4" s="97" t="s">
        <v>235</v>
      </c>
      <c r="D4" s="98" t="s">
        <v>312</v>
      </c>
      <c r="E4" s="98" t="s">
        <v>312</v>
      </c>
      <c r="F4" s="98" t="s">
        <v>312</v>
      </c>
      <c r="G4" s="98" t="s">
        <v>312</v>
      </c>
      <c r="H4" s="98" t="s">
        <v>312</v>
      </c>
      <c r="I4" s="98" t="s">
        <v>312</v>
      </c>
      <c r="J4" s="98" t="s">
        <v>312</v>
      </c>
    </row>
    <row r="5" spans="1:10" s="7" customFormat="1" x14ac:dyDescent="0.25">
      <c r="A5" s="9" t="s">
        <v>29</v>
      </c>
      <c r="B5" s="99" t="s">
        <v>30</v>
      </c>
      <c r="C5" s="97" t="s">
        <v>235</v>
      </c>
      <c r="D5" s="99" t="s">
        <v>30</v>
      </c>
      <c r="E5" s="99" t="s">
        <v>30</v>
      </c>
      <c r="F5" s="99" t="s">
        <v>30</v>
      </c>
      <c r="G5" s="99" t="s">
        <v>30</v>
      </c>
      <c r="H5" s="99" t="s">
        <v>30</v>
      </c>
      <c r="I5" s="99" t="s">
        <v>30</v>
      </c>
      <c r="J5" s="99" t="s">
        <v>30</v>
      </c>
    </row>
    <row r="6" spans="1:10" x14ac:dyDescent="0.25">
      <c r="A6" s="53" t="s">
        <v>32</v>
      </c>
      <c r="B6" s="100">
        <v>1883.4014381560999</v>
      </c>
      <c r="C6" s="97">
        <v>457.13473265730005</v>
      </c>
      <c r="D6" s="100">
        <v>723.64893597880007</v>
      </c>
      <c r="E6" s="100">
        <v>427.03049056190002</v>
      </c>
      <c r="F6" s="100">
        <v>487.18470428249998</v>
      </c>
      <c r="G6" s="100">
        <v>261.21498581689997</v>
      </c>
      <c r="H6" s="100">
        <v>304.30850570360002</v>
      </c>
      <c r="I6" s="100">
        <v>405.04128705970004</v>
      </c>
      <c r="J6" s="100">
        <v>591.51421919769996</v>
      </c>
    </row>
    <row r="7" spans="1:10" x14ac:dyDescent="0.25">
      <c r="A7" s="53" t="s">
        <v>34</v>
      </c>
      <c r="B7" s="44">
        <v>0.46768700000000002</v>
      </c>
      <c r="C7" s="97">
        <v>0.58918371428571426</v>
      </c>
      <c r="D7" s="44">
        <v>0.68738500000000002</v>
      </c>
      <c r="E7" s="44">
        <v>0.51422600000000007</v>
      </c>
      <c r="F7" s="44">
        <v>0.50809499999999996</v>
      </c>
      <c r="G7" s="44">
        <v>0.588059</v>
      </c>
      <c r="H7" s="44">
        <v>0.56648399999999999</v>
      </c>
      <c r="I7" s="44">
        <v>0.60341500000000003</v>
      </c>
      <c r="J7" s="44">
        <v>0.65662200000000004</v>
      </c>
    </row>
    <row r="8" spans="1:10" x14ac:dyDescent="0.25">
      <c r="A8" s="53" t="s">
        <v>36</v>
      </c>
      <c r="B8" s="100">
        <v>3.4929000000000001</v>
      </c>
      <c r="C8" s="97">
        <v>2.9471000000000003</v>
      </c>
      <c r="D8" s="100">
        <v>5.1325000000000003</v>
      </c>
      <c r="E8" s="100">
        <v>2.7185000000000001</v>
      </c>
      <c r="F8" s="100">
        <v>1.3205</v>
      </c>
      <c r="G8" s="100">
        <v>0.88490000000000002</v>
      </c>
      <c r="H8" s="100">
        <v>4.2236000000000002</v>
      </c>
      <c r="I8" s="100">
        <v>3.3107000000000002</v>
      </c>
      <c r="J8" s="100">
        <v>3.0390000000000001</v>
      </c>
    </row>
    <row r="9" spans="1:10" x14ac:dyDescent="0.25">
      <c r="A9" s="53" t="s">
        <v>38</v>
      </c>
      <c r="B9" s="96">
        <v>0.66583480647192383</v>
      </c>
      <c r="C9" s="97">
        <v>1.0195105016210551</v>
      </c>
      <c r="D9" s="96">
        <v>1.7509049656730764</v>
      </c>
      <c r="E9" s="96">
        <v>0.78340025933900548</v>
      </c>
      <c r="F9" s="96">
        <v>0.70314573891083021</v>
      </c>
      <c r="G9" s="96">
        <v>0.35291656220779793</v>
      </c>
      <c r="H9" s="96">
        <v>0.93505217039093025</v>
      </c>
      <c r="I9" s="96">
        <v>1.1435722832232449</v>
      </c>
      <c r="J9" s="96">
        <v>1.4675815316024998</v>
      </c>
    </row>
    <row r="10" spans="1:10" ht="21.6" customHeight="1" x14ac:dyDescent="0.25">
      <c r="A10" s="53" t="s">
        <v>39</v>
      </c>
      <c r="B10" s="100">
        <v>1.8800000000000001E-2</v>
      </c>
      <c r="C10" s="97">
        <v>4.0900000000000006E-2</v>
      </c>
      <c r="D10" s="100">
        <v>1.09E-2</v>
      </c>
      <c r="E10" s="100">
        <v>1.9800000000000002E-2</v>
      </c>
      <c r="F10" s="100">
        <v>5.7700000000000001E-2</v>
      </c>
      <c r="G10" s="100">
        <v>0.1009</v>
      </c>
      <c r="H10" s="100">
        <v>1.7299999999999999E-2</v>
      </c>
      <c r="I10" s="100">
        <v>4.1300000000000003E-2</v>
      </c>
      <c r="J10" s="100">
        <v>3.8399999999999997E-2</v>
      </c>
    </row>
    <row r="11" spans="1:10" x14ac:dyDescent="0.25">
      <c r="A11" s="53" t="s">
        <v>40</v>
      </c>
      <c r="B11" s="100">
        <v>87.359187206100003</v>
      </c>
      <c r="C11" s="97">
        <v>43.793623080214289</v>
      </c>
      <c r="D11" s="100">
        <v>28.2723522177</v>
      </c>
      <c r="E11" s="100">
        <v>21.2110358043</v>
      </c>
      <c r="F11" s="100">
        <v>72.016906167000002</v>
      </c>
      <c r="G11" s="100">
        <v>35.9543762614</v>
      </c>
      <c r="H11" s="100">
        <v>15.7614949544</v>
      </c>
      <c r="I11" s="100">
        <v>28.028744794600001</v>
      </c>
      <c r="J11" s="100">
        <v>105.3104513621</v>
      </c>
    </row>
    <row r="12" spans="1:10" s="7" customFormat="1" x14ac:dyDescent="0.25">
      <c r="A12" s="9" t="s">
        <v>41</v>
      </c>
      <c r="B12" s="45">
        <v>0.66180000000000005</v>
      </c>
      <c r="C12" s="97">
        <v>1.0269857142857144</v>
      </c>
      <c r="D12" s="45">
        <v>1.0410999999999999</v>
      </c>
      <c r="E12" s="45">
        <v>0.7451000000000001</v>
      </c>
      <c r="F12" s="45">
        <v>1.2472000000000001</v>
      </c>
      <c r="G12" s="45">
        <v>0.67869999999999986</v>
      </c>
      <c r="H12" s="45">
        <v>0.91610000000000003</v>
      </c>
      <c r="I12" s="45">
        <v>1.4552</v>
      </c>
      <c r="J12" s="45">
        <v>1.1054999999999999</v>
      </c>
    </row>
    <row r="13" spans="1:10" s="7" customFormat="1" x14ac:dyDescent="0.25">
      <c r="A13" s="9" t="s">
        <v>42</v>
      </c>
      <c r="B13" s="45">
        <v>0.17128199999999999</v>
      </c>
      <c r="C13" s="97">
        <v>0.17598285714285714</v>
      </c>
      <c r="D13" s="45">
        <v>0.17471699999999998</v>
      </c>
      <c r="E13" s="45">
        <v>9.3592999999999996E-2</v>
      </c>
      <c r="F13" s="45">
        <v>0.158246</v>
      </c>
      <c r="G13" s="45">
        <v>0.43598999999999999</v>
      </c>
      <c r="H13" s="45">
        <v>0.112384</v>
      </c>
      <c r="I13" s="45">
        <v>0.12770599999999999</v>
      </c>
      <c r="J13" s="45">
        <v>0.129244</v>
      </c>
    </row>
    <row r="14" spans="1:10" s="7" customFormat="1" x14ac:dyDescent="0.25">
      <c r="A14" s="9" t="s">
        <v>43</v>
      </c>
      <c r="B14" s="101">
        <v>9.6169569164999995</v>
      </c>
      <c r="C14" s="97">
        <v>4.0938322994428571</v>
      </c>
      <c r="D14" s="101">
        <v>3.7777351136000004</v>
      </c>
      <c r="E14" s="101">
        <v>1.6779184878</v>
      </c>
      <c r="F14" s="101">
        <v>4.4314841295000003</v>
      </c>
      <c r="G14" s="101">
        <v>10.352765258</v>
      </c>
      <c r="H14" s="101">
        <v>2.3243229681000002</v>
      </c>
      <c r="I14" s="101">
        <v>2.4720525708000003</v>
      </c>
      <c r="J14" s="101">
        <v>3.6205475682999997</v>
      </c>
    </row>
    <row r="15" spans="1:10" x14ac:dyDescent="0.25">
      <c r="A15" s="53" t="s">
        <v>45</v>
      </c>
      <c r="B15" s="44">
        <v>1.03E-2</v>
      </c>
      <c r="C15" s="97">
        <v>2.6477000000000001E-2</v>
      </c>
      <c r="D15" s="44">
        <v>1.6695000000000002E-2</v>
      </c>
      <c r="E15" s="44">
        <v>7.0190000000000001E-3</v>
      </c>
      <c r="F15" s="44">
        <v>1.3923000000000001E-2</v>
      </c>
      <c r="G15" s="44">
        <v>9.4763E-2</v>
      </c>
      <c r="H15" s="44">
        <v>1.7971999999999998E-2</v>
      </c>
      <c r="I15" s="44">
        <v>2.3732000000000003E-2</v>
      </c>
      <c r="J15" s="44">
        <v>1.1235E-2</v>
      </c>
    </row>
    <row r="16" spans="1:10" s="7" customFormat="1" ht="25.8" customHeight="1" x14ac:dyDescent="0.25">
      <c r="A16" s="9" t="s">
        <v>46</v>
      </c>
      <c r="B16" s="101">
        <v>-38.0743160002</v>
      </c>
      <c r="C16" s="97">
        <v>19.013172979914284</v>
      </c>
      <c r="D16" s="101">
        <v>44.336964954399996</v>
      </c>
      <c r="E16" s="101">
        <v>3.3794283466000001</v>
      </c>
      <c r="F16" s="101">
        <v>9.2700495020000009</v>
      </c>
      <c r="G16" s="101">
        <v>1.8421046256</v>
      </c>
      <c r="H16" s="101">
        <v>5.4336975028999994</v>
      </c>
      <c r="I16" s="101">
        <v>52.352400878699996</v>
      </c>
      <c r="J16" s="101">
        <v>16.477565049200003</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236</v>
      </c>
      <c r="B1" s="124"/>
      <c r="C1" s="124"/>
      <c r="D1" s="124"/>
      <c r="E1" s="124"/>
      <c r="F1" s="124"/>
    </row>
    <row r="2" spans="1:6" x14ac:dyDescent="0.25">
      <c r="A2" s="51" t="s">
        <v>237</v>
      </c>
      <c r="B2" s="50" t="s">
        <v>238</v>
      </c>
      <c r="C2" s="50" t="s">
        <v>239</v>
      </c>
      <c r="D2" s="50" t="s">
        <v>240</v>
      </c>
      <c r="E2" s="50" t="s">
        <v>218</v>
      </c>
      <c r="F2" s="50" t="s">
        <v>241</v>
      </c>
    </row>
    <row r="3" spans="1:6" ht="48" customHeight="1" x14ac:dyDescent="0.25">
      <c r="A3" s="103">
        <v>43476</v>
      </c>
      <c r="B3" s="52" t="s">
        <v>242</v>
      </c>
      <c r="C3" s="104" t="s">
        <v>243</v>
      </c>
      <c r="D3" s="104"/>
      <c r="E3" s="52" t="s">
        <v>229</v>
      </c>
      <c r="F3" s="104"/>
    </row>
    <row r="4" spans="1:6" ht="49.5" customHeight="1" x14ac:dyDescent="0.25">
      <c r="A4" s="103">
        <v>43455</v>
      </c>
      <c r="B4" s="52" t="s">
        <v>244</v>
      </c>
      <c r="C4" s="104" t="s">
        <v>243</v>
      </c>
      <c r="D4" s="104"/>
      <c r="E4" s="52" t="s">
        <v>245</v>
      </c>
      <c r="F4" s="104" t="s">
        <v>246</v>
      </c>
    </row>
    <row r="5" spans="1:6" ht="91.2" x14ac:dyDescent="0.25">
      <c r="A5" s="103">
        <v>43455</v>
      </c>
      <c r="B5" s="52" t="s">
        <v>247</v>
      </c>
      <c r="C5" s="104" t="s">
        <v>243</v>
      </c>
      <c r="D5" s="104"/>
      <c r="E5" s="52" t="s">
        <v>248</v>
      </c>
      <c r="F5" s="104" t="s">
        <v>249</v>
      </c>
    </row>
    <row r="6" spans="1:6" ht="57" x14ac:dyDescent="0.25">
      <c r="A6" s="103">
        <v>43452</v>
      </c>
      <c r="B6" s="52" t="s">
        <v>250</v>
      </c>
      <c r="C6" s="104"/>
      <c r="D6" s="104" t="s">
        <v>251</v>
      </c>
      <c r="E6" s="52" t="s">
        <v>252</v>
      </c>
      <c r="F6" s="104" t="s">
        <v>253</v>
      </c>
    </row>
    <row r="7" spans="1:6" x14ac:dyDescent="0.25">
      <c r="A7" s="103">
        <v>43325</v>
      </c>
      <c r="B7" s="52" t="s">
        <v>254</v>
      </c>
      <c r="C7" s="104" t="s">
        <v>243</v>
      </c>
      <c r="D7" s="104"/>
      <c r="E7" s="52" t="s">
        <v>255</v>
      </c>
      <c r="F7" s="104"/>
    </row>
    <row r="8" spans="1:6" ht="22.8" x14ac:dyDescent="0.25">
      <c r="A8" s="103">
        <v>43308</v>
      </c>
      <c r="B8" s="52" t="s">
        <v>256</v>
      </c>
      <c r="C8" s="104" t="s">
        <v>257</v>
      </c>
      <c r="D8" s="104"/>
      <c r="E8" s="52" t="s">
        <v>221</v>
      </c>
      <c r="F8" s="104" t="s">
        <v>258</v>
      </c>
    </row>
    <row r="9" spans="1:6" x14ac:dyDescent="0.25">
      <c r="A9" s="103">
        <v>43291</v>
      </c>
      <c r="B9" s="52" t="s">
        <v>259</v>
      </c>
      <c r="C9" s="104" t="s">
        <v>243</v>
      </c>
      <c r="D9" s="104"/>
      <c r="E9" s="52" t="s">
        <v>221</v>
      </c>
      <c r="F9" s="104" t="s">
        <v>260</v>
      </c>
    </row>
    <row r="10" spans="1:6" ht="68.400000000000006" x14ac:dyDescent="0.25">
      <c r="A10" s="103">
        <v>43287</v>
      </c>
      <c r="B10" s="52" t="s">
        <v>261</v>
      </c>
      <c r="C10" s="104" t="s">
        <v>243</v>
      </c>
      <c r="D10" s="104"/>
      <c r="E10" s="52" t="s">
        <v>262</v>
      </c>
      <c r="F10" s="104" t="s">
        <v>263</v>
      </c>
    </row>
    <row r="11" spans="1:6" ht="79.8" x14ac:dyDescent="0.25">
      <c r="A11" s="103">
        <v>43280</v>
      </c>
      <c r="B11" s="52" t="s">
        <v>264</v>
      </c>
      <c r="C11" s="104" t="s">
        <v>243</v>
      </c>
      <c r="D11" s="104"/>
      <c r="E11" s="52" t="s">
        <v>262</v>
      </c>
      <c r="F11" s="104" t="s">
        <v>265</v>
      </c>
    </row>
    <row r="12" spans="1:6" x14ac:dyDescent="0.25">
      <c r="A12" s="105">
        <v>43278</v>
      </c>
      <c r="B12" t="s">
        <v>266</v>
      </c>
      <c r="C12" s="106" t="s">
        <v>243</v>
      </c>
      <c r="D12" s="106"/>
      <c r="E12" t="s">
        <v>248</v>
      </c>
      <c r="F12" s="106" t="s">
        <v>267</v>
      </c>
    </row>
    <row r="13" spans="1:6" x14ac:dyDescent="0.25">
      <c r="A13" s="105">
        <v>43278</v>
      </c>
      <c r="B13" t="s">
        <v>268</v>
      </c>
      <c r="C13" s="106" t="s">
        <v>269</v>
      </c>
      <c r="D13" s="106"/>
      <c r="E13" t="s">
        <v>248</v>
      </c>
      <c r="F13" s="106" t="s">
        <v>270</v>
      </c>
    </row>
    <row r="14" spans="1:6" x14ac:dyDescent="0.25">
      <c r="A14" s="105">
        <v>43276</v>
      </c>
      <c r="B14" t="s">
        <v>271</v>
      </c>
      <c r="C14" s="106" t="s">
        <v>243</v>
      </c>
      <c r="D14" s="106"/>
      <c r="E14" t="s">
        <v>248</v>
      </c>
      <c r="F14" s="106" t="s">
        <v>272</v>
      </c>
    </row>
    <row r="15" spans="1:6" ht="27" customHeight="1" x14ac:dyDescent="0.25">
      <c r="A15" s="105">
        <v>43271</v>
      </c>
      <c r="B15" t="s">
        <v>273</v>
      </c>
      <c r="C15" s="106" t="s">
        <v>243</v>
      </c>
      <c r="D15" s="106"/>
      <c r="E15" t="s">
        <v>274</v>
      </c>
      <c r="F15" s="106" t="s">
        <v>275</v>
      </c>
    </row>
    <row r="16" spans="1:6" ht="27" customHeight="1" x14ac:dyDescent="0.25">
      <c r="A16" s="105">
        <v>43266</v>
      </c>
      <c r="B16" t="s">
        <v>276</v>
      </c>
      <c r="C16" s="106" t="s">
        <v>243</v>
      </c>
      <c r="D16" s="106"/>
      <c r="E16" t="s">
        <v>221</v>
      </c>
      <c r="F16" s="106" t="s">
        <v>277</v>
      </c>
    </row>
    <row r="17" spans="1:6" x14ac:dyDescent="0.25">
      <c r="A17" s="105">
        <v>43266</v>
      </c>
      <c r="B17" t="s">
        <v>278</v>
      </c>
      <c r="C17" s="106" t="s">
        <v>243</v>
      </c>
      <c r="D17" s="106"/>
      <c r="E17" t="s">
        <v>262</v>
      </c>
      <c r="F17" s="106" t="s">
        <v>279</v>
      </c>
    </row>
    <row r="33" spans="1:6" x14ac:dyDescent="0.25">
      <c r="A33" s="143" t="s">
        <v>280</v>
      </c>
      <c r="B33" s="143"/>
      <c r="C33" s="143"/>
      <c r="D33" s="143"/>
      <c r="E33" s="143"/>
      <c r="F33" s="143"/>
    </row>
    <row r="34" spans="1:6" x14ac:dyDescent="0.25">
      <c r="A34" s="83" t="s">
        <v>237</v>
      </c>
      <c r="B34" s="83" t="s">
        <v>238</v>
      </c>
      <c r="C34" s="83" t="s">
        <v>281</v>
      </c>
      <c r="D34" s="83" t="s">
        <v>282</v>
      </c>
      <c r="E34" s="83" t="s">
        <v>218</v>
      </c>
      <c r="F34" s="83" t="s">
        <v>241</v>
      </c>
    </row>
    <row r="35" spans="1:6" x14ac:dyDescent="0.25">
      <c r="A35" s="107">
        <v>43277</v>
      </c>
      <c r="B35" s="57" t="s">
        <v>283</v>
      </c>
      <c r="C35" s="108"/>
      <c r="D35" s="108" t="s">
        <v>284</v>
      </c>
      <c r="E35" s="57" t="s">
        <v>221</v>
      </c>
      <c r="F35" s="108" t="s">
        <v>285</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286</v>
      </c>
      <c r="B1" s="124"/>
      <c r="C1" s="124"/>
      <c r="D1" s="124"/>
      <c r="E1" s="124"/>
      <c r="F1" s="124"/>
      <c r="G1" s="124"/>
      <c r="H1" s="124"/>
      <c r="I1" s="124"/>
      <c r="J1" s="124"/>
      <c r="K1" s="124"/>
      <c r="L1" s="124"/>
      <c r="M1" s="124"/>
      <c r="N1" s="124"/>
    </row>
    <row r="2" spans="1:18" s="1" customFormat="1" ht="25.5" customHeight="1" x14ac:dyDescent="0.25">
      <c r="A2" s="54" t="s">
        <v>287</v>
      </c>
      <c r="B2" s="54" t="s">
        <v>288</v>
      </c>
      <c r="C2" s="54" t="s">
        <v>289</v>
      </c>
      <c r="D2" s="54" t="s">
        <v>290</v>
      </c>
      <c r="E2" s="54" t="s">
        <v>291</v>
      </c>
      <c r="F2" s="54" t="s">
        <v>292</v>
      </c>
      <c r="G2" s="54" t="s">
        <v>293</v>
      </c>
      <c r="H2" s="54" t="s">
        <v>16</v>
      </c>
      <c r="I2" s="54" t="s">
        <v>294</v>
      </c>
      <c r="J2" s="54" t="s">
        <v>295</v>
      </c>
      <c r="K2" s="54" t="s">
        <v>296</v>
      </c>
      <c r="L2" s="54" t="s">
        <v>297</v>
      </c>
      <c r="M2" s="54" t="s">
        <v>19</v>
      </c>
      <c r="N2" s="54" t="s">
        <v>298</v>
      </c>
      <c r="O2" s="3"/>
      <c r="P2" s="110" t="str">
        <f ca="1">Q2</f>
        <v>2019-04-11</v>
      </c>
      <c r="Q2" s="1" t="str">
        <f ca="1">[1]!td(R2-1)</f>
        <v>2019-04-11</v>
      </c>
      <c r="R2" s="3">
        <f ca="1">TODAY()</f>
        <v>43567</v>
      </c>
    </row>
    <row r="3" spans="1:18" ht="15.75" customHeight="1" x14ac:dyDescent="0.25">
      <c r="A3" s="111" t="str">
        <f>[1]!b_info_name(L3)</f>
        <v>19淮安水利SCP001</v>
      </c>
      <c r="B3" s="2" t="str">
        <f>[1]!b_issue_firstissue(L3)</f>
        <v>2019-04-15</v>
      </c>
      <c r="C3" s="111">
        <f>[1]!b_info_term(L3)</f>
        <v>0.73970000000000002</v>
      </c>
      <c r="D3" s="112" t="str">
        <f>[1]!issuerrating(L3)</f>
        <v>AA+</v>
      </c>
      <c r="E3" s="112" t="str">
        <f>[1]!b_info_creditrating(L3)</f>
        <v>-</v>
      </c>
      <c r="F3" s="111" t="str">
        <f>[1]!b_rate_creditratingagency(L3)</f>
        <v>中诚信国际信用评级有限责任公司</v>
      </c>
      <c r="G3" s="113">
        <f>[1]!b_agency_guarantor(L3)</f>
        <v>0</v>
      </c>
      <c r="H3" s="114" t="s">
        <v>299</v>
      </c>
      <c r="I3" s="65"/>
      <c r="J3" s="115" t="s">
        <v>299</v>
      </c>
      <c r="K3" s="116"/>
      <c r="L3" s="41" t="str">
        <f>公式页!A2</f>
        <v>d19041218.IB</v>
      </c>
      <c r="M3" s="114" t="s">
        <v>299</v>
      </c>
      <c r="N3" s="111" t="str">
        <f>[1]!b_agency_leadunderwriter(L3)</f>
        <v>南京银行股份有限公司,江苏银行股份有限公司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3.6621999999999999</v>
      </c>
      <c r="K4" s="116">
        <f>K3</f>
        <v>0</v>
      </c>
      <c r="L4" s="4" t="s">
        <v>300</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301</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4" t="s">
        <v>287</v>
      </c>
      <c r="B13" s="54" t="s">
        <v>288</v>
      </c>
      <c r="C13" s="54" t="s">
        <v>289</v>
      </c>
      <c r="D13" s="54" t="s">
        <v>290</v>
      </c>
      <c r="E13" s="54" t="s">
        <v>291</v>
      </c>
      <c r="F13" s="54" t="s">
        <v>292</v>
      </c>
      <c r="G13" s="54" t="s">
        <v>293</v>
      </c>
      <c r="H13" s="54" t="s">
        <v>16</v>
      </c>
      <c r="I13" s="54" t="s">
        <v>294</v>
      </c>
      <c r="J13" s="54" t="s">
        <v>295</v>
      </c>
      <c r="K13" s="54" t="s">
        <v>296</v>
      </c>
      <c r="L13" s="54" t="s">
        <v>297</v>
      </c>
      <c r="M13" s="54" t="s">
        <v>19</v>
      </c>
      <c r="N13" s="54" t="s">
        <v>298</v>
      </c>
      <c r="P13" s="109" t="str">
        <f t="shared" ca="1" si="0"/>
        <v>2019-04-11</v>
      </c>
    </row>
    <row r="14" spans="1:18" ht="15.75" customHeight="1" x14ac:dyDescent="0.25">
      <c r="A14" s="111" t="str">
        <f>[1]!b_info_name(L14)</f>
        <v>19淮安水利SCP001</v>
      </c>
      <c r="B14" s="2" t="str">
        <f>[1]!b_issue_firstissue(L14)</f>
        <v>2019-04-15</v>
      </c>
      <c r="C14" s="111">
        <f>[1]!b_info_term(L14)</f>
        <v>0.73970000000000002</v>
      </c>
      <c r="D14" s="112" t="str">
        <f>[1]!issuerrating(L14)</f>
        <v>AA+</v>
      </c>
      <c r="E14" s="112" t="str">
        <f>[1]!b_info_creditrating(L14)</f>
        <v>-</v>
      </c>
      <c r="F14" s="111" t="str">
        <f>[1]!b_rate_creditratingagency(L14)</f>
        <v>中诚信国际信用评级有限责任公司</v>
      </c>
      <c r="G14" s="113">
        <f>[1]!b_agency_guarantor(L14)</f>
        <v>0</v>
      </c>
      <c r="H14" s="114" t="s">
        <v>299</v>
      </c>
      <c r="I14" s="65"/>
      <c r="J14" s="115" t="s">
        <v>299</v>
      </c>
      <c r="K14" s="116">
        <f>K3</f>
        <v>0</v>
      </c>
      <c r="L14" s="42" t="str">
        <f>L3</f>
        <v>d19041218.IB</v>
      </c>
      <c r="M14" s="114" t="s">
        <v>299</v>
      </c>
      <c r="N14" s="111" t="str">
        <f>[1]!b_agency_leadunderwriter(L14)</f>
        <v>南京银行股份有限公司,江苏银行股份有限公司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302</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303</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304</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305</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306</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307</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308</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309</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310</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2019-04-12T08:09:51Z</dcterms:modified>
</cp:coreProperties>
</file>