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28B88411-D7CF-48D7-B1D9-555C69CDD3D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O23" i="6"/>
  <c r="F21" i="6"/>
  <c r="C20" i="6"/>
  <c r="M17" i="6"/>
  <c r="G16" i="6"/>
  <c r="D15" i="6"/>
  <c r="C14" i="6"/>
  <c r="H9" i="6"/>
  <c r="F7" i="6"/>
  <c r="G6" i="6"/>
  <c r="H5"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H23" i="6"/>
  <c r="E22" i="6"/>
  <c r="B21" i="6"/>
  <c r="O19" i="6"/>
  <c r="F17" i="6"/>
  <c r="C16" i="6"/>
  <c r="D9" i="6"/>
  <c r="E8" i="6"/>
  <c r="B7" i="6"/>
  <c r="C6" i="6"/>
  <c r="D5" i="6"/>
  <c r="E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23" i="6"/>
  <c r="E18" i="6"/>
  <c r="N9" i="6"/>
  <c r="A8" i="6"/>
  <c r="N5" i="6"/>
  <c r="A4" i="6"/>
  <c r="S134" i="1"/>
  <c r="M130" i="1"/>
  <c r="D111" i="1"/>
  <c r="G102" i="1"/>
  <c r="J101" i="1"/>
  <c r="Q100" i="1"/>
  <c r="F100" i="1"/>
  <c r="O99" i="1"/>
  <c r="D99" i="1"/>
  <c r="M98" i="1"/>
  <c r="B98" i="1"/>
  <c r="J97" i="1"/>
  <c r="Q96" i="1"/>
  <c r="F96" i="1"/>
  <c r="D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A22" i="6"/>
  <c r="B17" i="6"/>
  <c r="M140" i="1"/>
  <c r="O133" i="1"/>
  <c r="O129" i="1"/>
  <c r="C102" i="1"/>
  <c r="E101" i="1"/>
  <c r="N100" i="1"/>
  <c r="C100" i="1"/>
  <c r="L99" i="1"/>
  <c r="R98" i="1"/>
  <c r="G98" i="1"/>
  <c r="P97" i="1"/>
  <c r="E97" i="1"/>
  <c r="N96" i="1"/>
  <c r="C96"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N20" i="6"/>
  <c r="O15" i="6"/>
  <c r="M6" i="6"/>
  <c r="M138" i="1"/>
  <c r="M132" i="1"/>
  <c r="S128" i="1"/>
  <c r="S109" i="1"/>
  <c r="R103" i="1"/>
  <c r="P101" i="1"/>
  <c r="D101" i="1"/>
  <c r="M100" i="1"/>
  <c r="B100" i="1"/>
  <c r="J99" i="1"/>
  <c r="Q98" i="1"/>
  <c r="F98" i="1"/>
  <c r="O97" i="1"/>
  <c r="D97" i="1"/>
  <c r="M96" i="1"/>
  <c r="B96"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H19" i="6"/>
  <c r="M136" i="1"/>
  <c r="G100" i="1"/>
  <c r="C98" i="1"/>
  <c r="E95" i="1"/>
  <c r="E92" i="1"/>
  <c r="G89" i="1"/>
  <c r="C87" i="1"/>
  <c r="E84" i="1"/>
  <c r="G81" i="1"/>
  <c r="C79" i="1"/>
  <c r="E76" i="1"/>
  <c r="G73" i="1"/>
  <c r="C71" i="1"/>
  <c r="E68" i="1"/>
  <c r="G65" i="1"/>
  <c r="C63" i="1"/>
  <c r="E60" i="1"/>
  <c r="G57" i="1"/>
  <c r="C55" i="1"/>
  <c r="E52" i="1"/>
  <c r="G49" i="1"/>
  <c r="C47" i="1"/>
  <c r="E44" i="1"/>
  <c r="G41" i="1"/>
  <c r="C39" i="1"/>
  <c r="E37" i="1"/>
  <c r="C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C85" i="1"/>
  <c r="G71" i="1"/>
  <c r="E66" i="1"/>
  <c r="G55" i="1"/>
  <c r="E50" i="1"/>
  <c r="E42" i="1"/>
  <c r="E36" i="1"/>
  <c r="C34" i="1"/>
  <c r="E31" i="1"/>
  <c r="P29" i="1"/>
  <c r="R28" i="1"/>
  <c r="P27" i="1"/>
  <c r="R26" i="1"/>
  <c r="C26" i="1"/>
  <c r="E25" i="1"/>
  <c r="G24" i="1"/>
  <c r="L23" i="1"/>
  <c r="G22" i="1"/>
  <c r="L21" i="1"/>
  <c r="G20" i="1"/>
  <c r="P19" i="1"/>
  <c r="C18" i="1"/>
  <c r="E17" i="1"/>
  <c r="M15" i="1"/>
  <c r="B11" i="1"/>
  <c r="E4" i="1"/>
  <c r="S111" i="1"/>
  <c r="N103" i="1"/>
  <c r="P99" i="1"/>
  <c r="L97" i="1"/>
  <c r="E94" i="1"/>
  <c r="G91" i="1"/>
  <c r="C89" i="1"/>
  <c r="E86" i="1"/>
  <c r="G83" i="1"/>
  <c r="C81" i="1"/>
  <c r="E78" i="1"/>
  <c r="G75" i="1"/>
  <c r="C73" i="1"/>
  <c r="E70" i="1"/>
  <c r="G67" i="1"/>
  <c r="C65" i="1"/>
  <c r="E62" i="1"/>
  <c r="G59" i="1"/>
  <c r="C57" i="1"/>
  <c r="E54" i="1"/>
  <c r="G51" i="1"/>
  <c r="C49" i="1"/>
  <c r="E46" i="1"/>
  <c r="G43" i="1"/>
  <c r="C41" i="1"/>
  <c r="E38" i="1"/>
  <c r="C37"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E82" i="1"/>
  <c r="E58" i="1"/>
  <c r="G47" i="1"/>
  <c r="G37" i="1"/>
  <c r="G34" i="1"/>
  <c r="G32" i="1"/>
  <c r="G30" i="1"/>
  <c r="L29" i="1"/>
  <c r="N28" i="1"/>
  <c r="C28" i="1"/>
  <c r="E27" i="1"/>
  <c r="G26" i="1"/>
  <c r="L25" i="1"/>
  <c r="N24" i="1"/>
  <c r="P23" i="1"/>
  <c r="P21" i="1"/>
  <c r="R20" i="1"/>
  <c r="C20" i="1"/>
  <c r="E19" i="1"/>
  <c r="G18" i="1"/>
  <c r="L17" i="1"/>
  <c r="D16" i="1"/>
  <c r="F15" i="1"/>
  <c r="B9" i="1"/>
  <c r="D109" i="1"/>
  <c r="L101" i="1"/>
  <c r="E99" i="1"/>
  <c r="R96" i="1"/>
  <c r="G93" i="1"/>
  <c r="C91" i="1"/>
  <c r="E88" i="1"/>
  <c r="G85" i="1"/>
  <c r="C83" i="1"/>
  <c r="E80" i="1"/>
  <c r="G77" i="1"/>
  <c r="C75" i="1"/>
  <c r="E72" i="1"/>
  <c r="G69" i="1"/>
  <c r="C67" i="1"/>
  <c r="E64" i="1"/>
  <c r="G61" i="1"/>
  <c r="C59" i="1"/>
  <c r="E56" i="1"/>
  <c r="G53" i="1"/>
  <c r="C51" i="1"/>
  <c r="E48" i="1"/>
  <c r="G45" i="1"/>
  <c r="C43" i="1"/>
  <c r="E40" i="1"/>
  <c r="C38" i="1"/>
  <c r="G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R100" i="1"/>
  <c r="N98" i="1"/>
  <c r="G96" i="1"/>
  <c r="C93" i="1"/>
  <c r="E90" i="1"/>
  <c r="G87" i="1"/>
  <c r="G79" i="1"/>
  <c r="C77" i="1"/>
  <c r="E74" i="1"/>
  <c r="C69" i="1"/>
  <c r="G63" i="1"/>
  <c r="C61" i="1"/>
  <c r="C53" i="1"/>
  <c r="C45" i="1"/>
  <c r="G39" i="1"/>
  <c r="E35" i="1"/>
  <c r="E33" i="1"/>
  <c r="C32" i="1"/>
  <c r="C30" i="1"/>
  <c r="E29" i="1"/>
  <c r="G28" i="1"/>
  <c r="L27" i="1"/>
  <c r="N26" i="1"/>
  <c r="P25" i="1"/>
  <c r="R24" i="1"/>
  <c r="C24" i="1"/>
  <c r="E23" i="1"/>
  <c r="C22" i="1"/>
  <c r="E21" i="1"/>
  <c r="N20" i="1"/>
  <c r="L19" i="1"/>
  <c r="P17" i="1"/>
  <c r="J16" i="1"/>
  <c r="Q15" i="1"/>
  <c r="B15" i="1"/>
  <c r="D14" i="1"/>
  <c r="B7" i="1"/>
  <c r="R22" i="1" l="1"/>
  <c r="H111" i="1"/>
  <c r="B126" i="1"/>
  <c r="M22" i="1"/>
  <c r="H109" i="1"/>
  <c r="H118" i="1"/>
  <c r="B122" i="1"/>
  <c r="B128" i="1"/>
  <c r="N22" i="1"/>
  <c r="D119" i="1"/>
  <c r="D123" i="1"/>
  <c r="B130" i="1"/>
  <c r="Q22" i="1"/>
  <c r="B120" i="1"/>
  <c r="H124"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9" i="6"/>
  <c r="J7" i="6"/>
  <c r="J9" i="6"/>
  <c r="J22" i="6"/>
  <c r="J15" i="6"/>
  <c r="J23" i="6"/>
  <c r="J5" i="6"/>
  <c r="J18" i="6"/>
  <c r="J20" i="6"/>
  <c r="J6" i="6"/>
  <c r="J21" i="6"/>
  <c r="J16" i="6"/>
</calcChain>
</file>

<file path=xl/sharedStrings.xml><?xml version="1.0" encoding="utf-8"?>
<sst xmlns="http://schemas.openxmlformats.org/spreadsheetml/2006/main" count="513" uniqueCount="248">
  <si>
    <t>d19041219.IB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</si>
  <si>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</si>
  <si>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</si>
  <si>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</si>
  <si>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</si>
  <si>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</si>
  <si>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</si>
  <si>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</si>
  <si>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</si>
  <si>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</si>
  <si>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</si>
  <si>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</si>
  <si>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</si>
  <si>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</si>
  <si>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</si>
  <si>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</si>
  <si>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</si>
  <si>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</si>
  <si>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</si>
  <si>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</si>
  <si>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</si>
  <si>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</si>
  <si>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</si>
  <si>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101351017.IB</t>
  </si>
  <si>
    <t>主体级别</t>
  </si>
  <si>
    <t>AA+</t>
  </si>
  <si>
    <t>101651004.IB</t>
  </si>
  <si>
    <t>*选择性黏贴</t>
  </si>
  <si>
    <t>011699024.IB</t>
  </si>
  <si>
    <t>数据年度</t>
  </si>
  <si>
    <t>2017年</t>
  </si>
  <si>
    <t>101461003.IB</t>
  </si>
  <si>
    <t>总资产</t>
  </si>
  <si>
    <t>122176.SH</t>
  </si>
  <si>
    <t>负债率</t>
  </si>
  <si>
    <t>041654013.IB</t>
  </si>
  <si>
    <t>流动比率</t>
  </si>
  <si>
    <t>041553086.IB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</si>
  <si>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</si>
  <si>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</si>
  <si>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</si>
  <si>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</si>
  <si>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</si>
  <si>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</si>
  <si>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</si>
  <si>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</si>
  <si>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</si>
  <si>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</si>
  <si>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</si>
  <si>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</si>
  <si>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</si>
  <si>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</si>
  <si>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</si>
  <si>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</si>
  <si>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</si>
  <si>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</si>
  <si>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</si>
  <si>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</si>
  <si>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</si>
  <si>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</si>
  <si>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</si>
  <si>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</si>
  <si>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</si>
  <si>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</si>
  <si>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</si>
  <si>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</si>
  <si>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</si>
  <si>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</si>
  <si>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</si>
  <si>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</si>
  <si>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</si>
  <si>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</si>
  <si>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</si>
  <si>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</si>
  <si>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</si>
  <si>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</si>
  <si>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</si>
  <si>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</si>
  <si>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</si>
  <si>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</si>
  <si>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</si>
  <si>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</si>
  <si>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</si>
  <si>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</si>
  <si>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</si>
  <si>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</si>
  <si>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</si>
  <si>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</si>
  <si>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</si>
  <si>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</si>
  <si>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</si>
  <si>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</si>
  <si>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</si>
  <si>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</si>
  <si>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</si>
  <si>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</si>
  <si>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</si>
  <si>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</si>
  <si>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</si>
  <si>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</si>
  <si>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</si>
  <si>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</si>
  <si>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</si>
  <si>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</si>
  <si>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</si>
  <si>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</si>
  <si>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</si>
  <si>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</si>
  <si>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</si>
  <si>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</si>
  <si>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</si>
  <si>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</si>
  <si>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</si>
  <si>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</si>
  <si>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</si>
  <si>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</si>
  <si>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</si>
  <si>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</si>
  <si>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</si>
  <si>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</si>
  <si>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</si>
  <si>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155310.SH</t>
  </si>
  <si>
    <t>20190402</t>
  </si>
  <si>
    <t>19汇鸿01</t>
  </si>
  <si>
    <t>011801449.IB</t>
  </si>
  <si>
    <t>20180801</t>
  </si>
  <si>
    <t>18苏汇鸿SCP002</t>
  </si>
  <si>
    <t>011800593.IB</t>
  </si>
  <si>
    <t>20180329</t>
  </si>
  <si>
    <t>18苏汇鸿SCP001</t>
  </si>
  <si>
    <t>143395.SH</t>
  </si>
  <si>
    <t>20171109</t>
  </si>
  <si>
    <t>17汇鸿01</t>
  </si>
  <si>
    <t>011762048.IB</t>
  </si>
  <si>
    <t>20170713</t>
  </si>
  <si>
    <t>17苏汇鸿SCP004</t>
  </si>
  <si>
    <t>011771015.IB</t>
  </si>
  <si>
    <t>20170424</t>
  </si>
  <si>
    <t>17苏汇鸿SCP003</t>
  </si>
  <si>
    <t>011753027.IB</t>
  </si>
  <si>
    <t>20170421</t>
  </si>
  <si>
    <t>17苏汇鸿SCP002</t>
  </si>
  <si>
    <t>011764018.IB</t>
  </si>
  <si>
    <t>20170321</t>
  </si>
  <si>
    <t>17苏汇鸿SCP001</t>
  </si>
  <si>
    <t>011698658.IB</t>
  </si>
  <si>
    <t>20161024</t>
  </si>
  <si>
    <t>16苏汇鸿SCP003</t>
  </si>
  <si>
    <t>101653033.IB</t>
  </si>
  <si>
    <t>20160817</t>
  </si>
  <si>
    <t>16苏汇鸿MTN001</t>
  </si>
  <si>
    <t>011698298.IB</t>
  </si>
  <si>
    <t>16苏汇鸿SCP002</t>
  </si>
  <si>
    <t>011698274.IB</t>
  </si>
  <si>
    <t>20160815</t>
  </si>
  <si>
    <t>16苏汇鸿SCP001</t>
  </si>
  <si>
    <t>101459007.IB</t>
  </si>
  <si>
    <t>20140402</t>
  </si>
  <si>
    <t>14苏汇鸿MTN001</t>
  </si>
  <si>
    <t>历史主体评级</t>
  </si>
  <si>
    <t>发布日期</t>
  </si>
  <si>
    <t>主体资信级别</t>
  </si>
  <si>
    <t>评级展望</t>
  </si>
  <si>
    <t>评级机构</t>
  </si>
  <si>
    <t>20190305</t>
  </si>
  <si>
    <t>稳定</t>
  </si>
  <si>
    <t>中诚信证券评估有限公司</t>
  </si>
  <si>
    <t>20180720</t>
  </si>
  <si>
    <t>中诚信国际信用评级有限责任公司</t>
  </si>
  <si>
    <t>20180705</t>
  </si>
  <si>
    <t>20180619</t>
  </si>
  <si>
    <t>20170711</t>
  </si>
  <si>
    <t>20170512</t>
  </si>
  <si>
    <t>20160728</t>
  </si>
  <si>
    <t>AA</t>
  </si>
  <si>
    <t>联合资信评估有限公司</t>
  </si>
  <si>
    <t>20160620</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</si>
  <si>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</si>
  <si>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</si>
  <si>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</si>
  <si>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</si>
  <si>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</si>
  <si>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</si>
  <si>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</si>
  <si>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</si>
  <si>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</si>
  <si>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</si>
  <si>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 xml:space="preserve"> 深圳市飞马国际供应链股份有限公司</t>
  </si>
  <si>
    <t>AA-稳定上调至AA稳定</t>
  </si>
  <si>
    <t>2017年公司营业收入持续增长，环保新能源业务发展加速将逐步推动业务结构的优化，且其投资性房地产持续增值。</t>
  </si>
  <si>
    <t>江苏国泰国际集团有限公司</t>
  </si>
  <si>
    <t>AA稳定上调至AA+稳定</t>
  </si>
  <si>
    <t>公司是江苏省大型外贸集团之一，在行业地位、营销渠道、货源基地方面优势突出。跟踪期内，公司进出口贸易规模稳步上升，以出口为主，采销渠道稳定，贸易商品结构和市场结构不断优化，同时积极拓展海外货源基地；受益于下游需求扩张，化工板块收入和利润不断增长，发展潜力较大。2017年2月，旗下上市公司江苏国泰国际集团国贸股份有限公司实施重大资产重组后，对集团优质核心资源进行全面整合并募集配套资金28.03亿元，公司资本实力及抗风险能力有效提升。</t>
  </si>
  <si>
    <t>近一年来同行业发债企业主体评级下调情况</t>
  </si>
  <si>
    <t>主体资信级别下调</t>
  </si>
  <si>
    <t>主体评级展望下调</t>
  </si>
  <si>
    <t>中国华阳经贸集团有限公司</t>
  </si>
  <si>
    <t>AA+稳定下调至C</t>
  </si>
  <si>
    <t>联合信用评级有限公司</t>
  </si>
  <si>
    <t>“15华阳经贸MTN001”违约触发了公司存续期内多支债券的交叉违约。</t>
  </si>
  <si>
    <t>升华集团控股有限公司</t>
  </si>
  <si>
    <t>AA稳定下调至AA-稳定</t>
  </si>
  <si>
    <t>鹏元资信评估有限公司</t>
  </si>
  <si>
    <t>受公司分配较大规模股利影响，公司净资产规模同比下降34.87%，扣除投资收益后的营业利润规模大幅下降，公司主营业务盈利能力仍较弱；2017年公司转让主要子公司股权，不再纳入合并范围，未来收入和盈利均存在不确定性；商品房销售业务无新增储备项目，且剩余可售面积较小，商品房销售业务持续性较弱；公司其他应收款规模较大，且应收对象为民营企业，需关注其回收情况；公司有息债务以短期债务为主，2018年需偿付有息债务为7.36亿元，短期债务偿还压力较大；此外公司对外担保金额较大，且担保对象以民营企业为主，均未设置反担保措施，存在一定的或有负债风险。</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</si>
  <si>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</si>
  <si>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</si>
  <si>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</si>
  <si>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</si>
  <si>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</si>
  <si>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</si>
  <si>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</si>
  <si>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</si>
  <si>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</si>
  <si>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</si>
  <si>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</si>
  <si>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</si>
  <si>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</si>
  <si>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</si>
  <si>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</si>
  <si>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</si>
  <si>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</si>
  <si>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</si>
  <si>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</si>
  <si>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</si>
  <si>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</si>
  <si>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</si>
  <si>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</si>
  <si>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</si>
  <si>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</si>
  <si>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江苏汇鸿国际集团股份有限公司</t>
  </si>
  <si>
    <t>地方国有企业</t>
  </si>
  <si>
    <t>可选消费--零售业--消费品经销商Ⅲ--消费品经销商</t>
  </si>
  <si>
    <t>江苏省南京市白下路91号</t>
  </si>
  <si>
    <t>公司是省属国有控股大型企业集团，1996年12月成立以来，经历多次合并重组，目前已成为江苏最大的省属外贸企业，系中国企业500强企业、中国对外贸易500强企业、中国服务业500强企业。多年来，汇鸿集团立足做大做强主业，坚持多元发展，业务涉及贸易、房地产、投资、制造业、物流、服务等多个领域。汇鸿集团整体上市后，坚持“一个目标、两大平台、五大板块”的发展战略：即以供应链运营为核心，推动集团向供应链集成运营企业转型，构建供应链运营和资本运营两大平台，培育冷链物流和医疗健康两个新兴产业板块，提升纺织服装、浆纸板材和船舶机电等三大传统优势业务板块，逐步形成以供应链云平台为载体，通过对内部资源的整合和外部客户、供应商资源的对接，形成集信息流、资金流、物流、商流和业务流的统一，不断提升集团供应链运营的效率及产品、服务、渠道、品牌的整体竞争力，实现集团的持续健康发展。</t>
  </si>
  <si>
    <t>江苏苏汇资产管理有限公司</t>
  </si>
  <si>
    <t>兴证资管鑫成61号集合资产管理计划</t>
  </si>
  <si>
    <t>厦门京道天甘股权投资合伙企业(有限合伙)</t>
  </si>
  <si>
    <t>全国社保基金501组合</t>
  </si>
  <si>
    <t>兴证资管鑫成71号双红利轮动集合资产管理计划</t>
  </si>
  <si>
    <t>海亮集团有限公司</t>
  </si>
  <si>
    <t>江苏苏美达集团有限公司</t>
  </si>
  <si>
    <t>辽宁成大股份有限公司</t>
  </si>
  <si>
    <t>重庆对外经贸(集团)有限公司</t>
  </si>
  <si>
    <t>中储发展股份有限公司</t>
  </si>
  <si>
    <t>中国国际医药卫生公司</t>
  </si>
  <si>
    <t>宝钢资源有限公司</t>
  </si>
  <si>
    <t>民营企业</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</si>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</sst>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F21" sqref="F21"/>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江苏汇鸿国际集团股份有限公司</v>
      </c>
      <c r="C4" s="120"/>
      <c r="D4" s="57" t="s">
        <v>3</v>
      </c>
      <c r="E4" s="119" t="str">
        <f>[1]!s_info_nature(A2)</f>
        <v>地方国有企业</v>
      </c>
      <c r="F4" s="120"/>
      <c r="G4" s="120"/>
      <c r="H4" s="19"/>
    </row>
    <row r="5" spans="1:20" s="17" customFormat="1" ht="14.25" customHeight="1" x14ac:dyDescent="0.25">
      <c r="A5" s="57" t="s">
        <v>4</v>
      </c>
      <c r="B5" s="119" t="str">
        <f>[1]!b_issuer_windindustry(A2,9)</f>
        <v>可选消费--零售业--消费品经销商Ⅲ--消费品经销商</v>
      </c>
      <c r="C5" s="120"/>
      <c r="D5" s="57" t="s">
        <v>5</v>
      </c>
      <c r="E5" s="119" t="str">
        <f>[1]!b_issuer_regaddress(A2)</f>
        <v>江苏省南京市白下路91号</v>
      </c>
      <c r="F5" s="120"/>
      <c r="G5" s="120"/>
    </row>
    <row r="6" spans="1:20" s="17" customFormat="1" ht="81" customHeight="1" x14ac:dyDescent="0.25">
      <c r="A6" s="57" t="s">
        <v>6</v>
      </c>
      <c r="B6" s="121" t="str">
        <f>[1]!s_info_briefing(A2)</f>
        <v>公司是省属国有控股大型企业集团，1996年12月成立以来，经历多次合并重组，目前已成为江苏最大的省属外贸企业，系中国企业500强企业、中国对外贸易500强企业、中国服务业500强企业。多年来，汇鸿集团立足做大做强主业，坚持多元发展，业务涉及贸易、房地产、投资、制造业、物流、服务等多个领域。汇鸿集团整体上市后，坚持“一个目标、两大平台、五大板块”的发展战略：即以供应链运营为核心，推动集团向供应链集成运营企业转型，构建供应链运营和资本运营两大平台，培育冷链物流和医疗健康两个新兴产业板块，提升纺织服装、浆纸板材和船舶机电等三大传统优势业务板块，逐步形成以供应链云平台为载体，通过对内部资源的整合和外部客户、供应商资源的对接，形成集信息流、资金流、物流、商流和业务流的统一，不断提升集团供应链运营的效率及产品、服务、渠道、品牌的整体竞争力，实现集团的持续健康发展。</v>
      </c>
      <c r="C6" s="120"/>
      <c r="D6" s="120"/>
      <c r="E6" s="120"/>
      <c r="F6" s="120"/>
      <c r="G6" s="120"/>
    </row>
    <row r="7" spans="1:20" s="17" customFormat="1" x14ac:dyDescent="0.25">
      <c r="A7" s="59" t="s">
        <v>7</v>
      </c>
      <c r="B7" s="122" t="str">
        <f>[1]!b_issuer_shareholder(A2,"",1)</f>
        <v>江苏苏汇资产管理有限公司</v>
      </c>
      <c r="C7" s="120"/>
      <c r="D7" s="120"/>
      <c r="E7" s="120"/>
      <c r="F7" s="61">
        <f>[1]!b_issuer_propofshareholder($A$2,"",1)%</f>
        <v>0.67410003662109375</v>
      </c>
      <c r="G7" s="60"/>
      <c r="H7" s="20" t="s">
        <v>8</v>
      </c>
      <c r="M7" s="24">
        <v>42004</v>
      </c>
      <c r="N7" s="24">
        <v>42369</v>
      </c>
      <c r="O7" s="24">
        <v>41639</v>
      </c>
      <c r="P7" s="62" t="s">
        <v>9</v>
      </c>
      <c r="Q7" s="62" t="s">
        <v>10</v>
      </c>
      <c r="R7" s="62" t="s">
        <v>11</v>
      </c>
    </row>
    <row r="8" spans="1:20" s="17" customFormat="1" x14ac:dyDescent="0.25">
      <c r="A8" s="59"/>
      <c r="B8" s="122" t="str">
        <f>[1]!b_issuer_shareholder(A2,"",2)</f>
        <v>兴证资管鑫成61号集合资产管理计划</v>
      </c>
      <c r="C8" s="120"/>
      <c r="D8" s="120"/>
      <c r="E8" s="120"/>
      <c r="F8" s="61">
        <f>[1]!b_issuer_propofshareholder($A$2,"",2)%</f>
        <v>4.3600001335144044E-2</v>
      </c>
      <c r="G8" s="60"/>
      <c r="H8" s="20"/>
      <c r="M8" s="25"/>
      <c r="O8" s="25"/>
      <c r="P8" s="63"/>
    </row>
    <row r="9" spans="1:20" s="17" customFormat="1" x14ac:dyDescent="0.25">
      <c r="A9" s="59"/>
      <c r="B9" s="122" t="str">
        <f>[1]!b_issuer_shareholder(A2,"",3)</f>
        <v>厦门京道天甘股权投资合伙企业(有限合伙)</v>
      </c>
      <c r="C9" s="120"/>
      <c r="D9" s="120"/>
      <c r="E9" s="120"/>
      <c r="F9" s="61">
        <f>[1]!b_issuer_propofshareholder($A$2,"",3)%</f>
        <v>3.2699999809265134E-2</v>
      </c>
      <c r="G9" s="60"/>
      <c r="H9" s="20"/>
      <c r="M9" s="25"/>
      <c r="O9" s="25"/>
      <c r="P9" s="63"/>
    </row>
    <row r="10" spans="1:20" s="17" customFormat="1" x14ac:dyDescent="0.25">
      <c r="A10" s="59"/>
      <c r="B10" s="122" t="str">
        <f>[1]!b_issuer_shareholder(A2,"",4)</f>
        <v>全国社保基金501组合</v>
      </c>
      <c r="C10" s="120"/>
      <c r="D10" s="120"/>
      <c r="E10" s="120"/>
      <c r="F10" s="61">
        <f>[1]!b_issuer_propofshareholder($A$2,"",4)%</f>
        <v>3.2699999809265134E-2</v>
      </c>
      <c r="G10" s="60"/>
      <c r="H10" s="20"/>
      <c r="M10" s="25"/>
      <c r="O10" s="25"/>
      <c r="P10" s="63"/>
    </row>
    <row r="11" spans="1:20" s="17" customFormat="1" x14ac:dyDescent="0.25">
      <c r="A11" s="59"/>
      <c r="B11" s="122" t="str">
        <f>[1]!b_issuer_shareholder(A2,"",5)</f>
        <v>兴证资管鑫成71号双红利轮动集合资产管理计划</v>
      </c>
      <c r="C11" s="120"/>
      <c r="D11" s="120"/>
      <c r="E11" s="120"/>
      <c r="F11" s="61">
        <f>[1]!b_issuer_propofshareholder($A$2,"",5)%</f>
        <v>2.8299999237060548E-2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d19041219.IB</v>
      </c>
      <c r="K14" s="26"/>
      <c r="L14" s="27" t="str">
        <f>T15</f>
        <v>101351017.IB</v>
      </c>
      <c r="M14" s="27" t="str">
        <f>T16</f>
        <v>101651004.IB</v>
      </c>
      <c r="N14" s="27" t="str">
        <f>T17</f>
        <v>011699024.IB</v>
      </c>
      <c r="O14" s="27" t="str">
        <f>T18</f>
        <v>101461003.IB</v>
      </c>
      <c r="P14" s="27" t="str">
        <f>T19</f>
        <v>122176.SH</v>
      </c>
      <c r="Q14" s="27" t="str">
        <f>T20</f>
        <v>041654013.IB</v>
      </c>
      <c r="R14" s="5" t="str">
        <f>T21</f>
        <v>041553086.IB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江苏汇鸿国际集团股份有限公司</v>
      </c>
      <c r="K15" s="138"/>
      <c r="L15" s="8" t="str">
        <f>[1]!b_info_issuer(L14)</f>
        <v>海亮集团有限公司</v>
      </c>
      <c r="M15" s="8" t="str">
        <f>[1]!b_info_issuer(M14)</f>
        <v>江苏苏美达集团有限公司</v>
      </c>
      <c r="N15" s="8" t="str">
        <f>[1]!b_info_issuer(N14)</f>
        <v>辽宁成大股份有限公司</v>
      </c>
      <c r="O15" s="8" t="str">
        <f>[1]!b_info_issuer(O14)</f>
        <v>重庆对外经贸(集团)有限公司</v>
      </c>
      <c r="P15" s="8" t="str">
        <f>[1]!b_info_issuer(P14)</f>
        <v>中储发展股份有限公司</v>
      </c>
      <c r="Q15" s="8" t="str">
        <f>[1]!b_info_issuer(Q14)</f>
        <v>中国国际医药卫生公司</v>
      </c>
      <c r="R15" s="8" t="str">
        <f>[1]!b_info_issuer(R14)</f>
        <v>宝钢资源有限公司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民营企业</v>
      </c>
      <c r="M17" s="67" t="str">
        <f>[1]!s_info_nature(M14)</f>
        <v>中央国有企业</v>
      </c>
      <c r="N17" s="67" t="str">
        <f>[1]!s_info_nature(N14)</f>
        <v>地方国有企业</v>
      </c>
      <c r="O17" s="67" t="str">
        <f>[1]!s_info_nature(O14)</f>
        <v>地方国有企业</v>
      </c>
      <c r="P17" s="67" t="str">
        <f>[1]!s_info_nature(P14)</f>
        <v>中央国有企业</v>
      </c>
      <c r="Q17" s="67" t="str">
        <f>[1]!s_info_nature(Q14)</f>
        <v>中央国有企业</v>
      </c>
      <c r="R17" s="67" t="str">
        <f>[1]!s_info_nature(R14)</f>
        <v>中央国有企业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307.16384245580002</v>
      </c>
      <c r="K19" s="124"/>
      <c r="L19" s="68">
        <f>[1]!b_stm07_bs(L14,74,L13,1)/100000000</f>
        <v>669.4443600733</v>
      </c>
      <c r="M19" s="68">
        <f>[1]!b_stm07_bs(M14,74,M13,1)/100000000</f>
        <v>413.15944384349996</v>
      </c>
      <c r="N19" s="68">
        <f>[1]!b_stm07_bs(N14,74,N13,1)/100000000</f>
        <v>355.15785965629999</v>
      </c>
      <c r="O19" s="68">
        <f>[1]!b_stm07_bs(O14,74,O13,1)/100000000</f>
        <v>238.2233322111</v>
      </c>
      <c r="P19" s="68">
        <f>[1]!b_stm07_bs(P14,74,P13,1)/100000000</f>
        <v>187.20183153369999</v>
      </c>
      <c r="Q19" s="68">
        <f>[1]!b_stm07_bs(Q14,74,Q13,1)/100000000</f>
        <v>0</v>
      </c>
      <c r="R19" s="68">
        <f>[1]!b_stm07_bs(R14,74,R13,1)/100000000</f>
        <v>0</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0.72517300000000007</v>
      </c>
      <c r="K20" s="124"/>
      <c r="L20" s="10">
        <f>[1]!s_fa_debttoassets(L14,L13)/100</f>
        <v>0.62546800000000002</v>
      </c>
      <c r="M20" s="10">
        <f>[1]!s_fa_debttoassets(M14,M13)/100</f>
        <v>0.83083899999999999</v>
      </c>
      <c r="N20" s="10">
        <f>[1]!s_fa_debttoassets(N14,N13)/100</f>
        <v>0.39833499999999999</v>
      </c>
      <c r="O20" s="10">
        <f>[1]!s_fa_debttoassets(O14,O13)/100</f>
        <v>0.74471100000000012</v>
      </c>
      <c r="P20" s="10">
        <f>[1]!s_fa_debttoassets(P14,P13)/100</f>
        <v>0.42432999999999998</v>
      </c>
      <c r="Q20" s="10">
        <f>[1]!s_fa_debttoassets(Q14,Q13)/100</f>
        <v>0</v>
      </c>
      <c r="R20" s="10">
        <f>[1]!s_fa_debttoassets(R14,R13)/100</f>
        <v>0</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1.1142000000000001</v>
      </c>
      <c r="K21" s="124"/>
      <c r="L21" s="68">
        <f>[1]!s_fa_current(L14,L13)</f>
        <v>1.2038</v>
      </c>
      <c r="M21" s="68">
        <f>[1]!s_fa_current(M14,M13)</f>
        <v>1.0117</v>
      </c>
      <c r="N21" s="68">
        <f>[1]!s_fa_current(N14,N13)</f>
        <v>0.57930000000000004</v>
      </c>
      <c r="O21" s="68">
        <f>[1]!s_fa_current(O14,O13)</f>
        <v>1.429</v>
      </c>
      <c r="P21" s="68">
        <f>[1]!s_fa_current(P14,P13)</f>
        <v>2.2803</v>
      </c>
      <c r="Q21" s="68">
        <f>[1]!s_fa_current(Q14,Q13)</f>
        <v>0</v>
      </c>
      <c r="R21" s="68">
        <f>[1]!s_fa_current(R14,R13)</f>
        <v>0</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1.2136220547893086</v>
      </c>
      <c r="K22" s="124"/>
      <c r="L22" s="66">
        <f>(公式页!L96+公式页!L97+公式页!L98+公式页!L99+公式页!L100+公式页!L101)/公式页!L103</f>
        <v>1.0188844613708388</v>
      </c>
      <c r="M22" s="66">
        <f t="shared" ref="M22:R22" si="0">(M96+M97+M98+M99+M100+M101)/M103</f>
        <v>1.7439541784004278</v>
      </c>
      <c r="N22" s="66">
        <f t="shared" si="0"/>
        <v>0.41220087196553301</v>
      </c>
      <c r="O22" s="66">
        <f t="shared" si="0"/>
        <v>1.2020917541437204</v>
      </c>
      <c r="P22" s="66">
        <f t="shared" si="0"/>
        <v>0.37913924865682175</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7.6200000000000004E-2</v>
      </c>
      <c r="K23" s="124"/>
      <c r="L23" s="68">
        <f>[1]!s_fa_ebitdatodebt(L14,L13)</f>
        <v>0.1137</v>
      </c>
      <c r="M23" s="68">
        <f>[1]!s_fa_ebitdatodebt(M14,M13)</f>
        <v>6.5600000000000006E-2</v>
      </c>
      <c r="N23" s="68">
        <f>[1]!s_fa_ebitdatodebt(N14,N13)</f>
        <v>0.1716</v>
      </c>
      <c r="O23" s="68">
        <f>[1]!s_fa_ebitdatodebt(O14,O13)</f>
        <v>4.4600000000000001E-2</v>
      </c>
      <c r="P23" s="68">
        <f>[1]!s_fa_ebitdatodebt(P14,P13)</f>
        <v>0.27050000000000002</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367.99957717580003</v>
      </c>
      <c r="K24" s="124"/>
      <c r="L24" s="68">
        <f>[1]!b_stm07_is(L14,9,L13,1)/100000000</f>
        <v>1625.9643069889999</v>
      </c>
      <c r="M24" s="68">
        <f>[1]!b_stm07_is(M14,9,M13,1)/100000000</f>
        <v>740.85713073490001</v>
      </c>
      <c r="N24" s="68">
        <f>[1]!b_stm07_is(N14,9,N13,1)/100000000</f>
        <v>139.9882737712</v>
      </c>
      <c r="O24" s="68">
        <f>[1]!b_stm07_is(O14,9,O13,1)/100000000</f>
        <v>275.34010238050001</v>
      </c>
      <c r="P24" s="68">
        <f>[1]!b_stm07_is(P14,9,P13,1)/100000000</f>
        <v>256.03249823580001</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1.0966</v>
      </c>
      <c r="K25" s="124"/>
      <c r="L25" s="11">
        <f>[1]!s_fa_salescashintoor(L14,L13)%</f>
        <v>1.0345</v>
      </c>
      <c r="M25" s="11">
        <f>[1]!s_fa_salescashintoor(M14,M13)%</f>
        <v>1.1339999999999999</v>
      </c>
      <c r="N25" s="11">
        <f>[1]!s_fa_salescashintoor(N14,N13)%</f>
        <v>0.92019999999999991</v>
      </c>
      <c r="O25" s="11">
        <f>[1]!s_fa_salescashintoor(O14,O13)%</f>
        <v>1.4928999999999999</v>
      </c>
      <c r="P25" s="11">
        <f>[1]!s_fa_salescashintoor(P14,P13)%</f>
        <v>1.1262000000000001</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5.1257000000000004E-2</v>
      </c>
      <c r="K26" s="124"/>
      <c r="L26" s="11">
        <f>[1]!s_fa_grossprofitmargin(L14,L13)%</f>
        <v>2.0310999999999999E-2</v>
      </c>
      <c r="M26" s="11">
        <f>[1]!s_fa_grossprofitmargin(M14,M13)%</f>
        <v>5.6714000000000001E-2</v>
      </c>
      <c r="N26" s="11">
        <f>[1]!s_fa_grossprofitmargin(N14,N13)%</f>
        <v>0.150225</v>
      </c>
      <c r="O26" s="11">
        <f>[1]!s_fa_grossprofitmargin(O14,O13)%</f>
        <v>3.4508000000000004E-2</v>
      </c>
      <c r="P26" s="11">
        <f>[1]!s_fa_grossprofitmargin(P14,P13)%</f>
        <v>2.1011999999999999E-2</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8.688794335499999</v>
      </c>
      <c r="K27" s="124"/>
      <c r="L27" s="69">
        <f>[1]!b_stm07_is(L14,60,L13,1)/100000000</f>
        <v>26.460173315799999</v>
      </c>
      <c r="M27" s="69">
        <f>[1]!b_stm07_is(M14,60,M13,1)/100000000</f>
        <v>11.0513383725</v>
      </c>
      <c r="N27" s="69">
        <f>[1]!b_stm07_is(N14,60,N13,1)/100000000</f>
        <v>14.8902796924</v>
      </c>
      <c r="O27" s="69">
        <f>[1]!b_stm07_is(O14,60,O13,1)/100000000</f>
        <v>3.5875375516000001</v>
      </c>
      <c r="P27" s="69">
        <f>[1]!b_stm07_is(P14,60,P13,1)/100000000</f>
        <v>13.425942033399998</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9.5431000000000002E-2</v>
      </c>
      <c r="K28" s="124"/>
      <c r="L28" s="10">
        <f>[1]!s_fa_roe(L14,L13)%</f>
        <v>0.10971299999999999</v>
      </c>
      <c r="M28" s="10">
        <f>[1]!s_fa_roe(M14,M13)%</f>
        <v>9.3589000000000006E-2</v>
      </c>
      <c r="N28" s="10">
        <f>[1]!s_fa_roe(N14,N13)%</f>
        <v>7.4916999999999997E-2</v>
      </c>
      <c r="O28" s="10">
        <f>[1]!s_fa_roe(O14,O13)%</f>
        <v>6.2328999999999996E-2</v>
      </c>
      <c r="P28" s="10">
        <f>[1]!s_fa_roe(P14,P13)%</f>
        <v>0.134327</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10.648913823300001</v>
      </c>
      <c r="K29" s="124"/>
      <c r="L29" s="69">
        <f>[1]!b_stm07_cs(L14,39,L13,1)/100000000</f>
        <v>18.714418382799998</v>
      </c>
      <c r="M29" s="69">
        <f>[1]!b_stm07_cs(M14,39,M13,1)/100000000</f>
        <v>41.754861956199996</v>
      </c>
      <c r="N29" s="69">
        <f>[1]!b_stm07_cs(N14,39,N13,1)/100000000</f>
        <v>0.9694753264</v>
      </c>
      <c r="O29" s="69">
        <f>[1]!b_stm07_cs(O14,39,O13,1)/100000000</f>
        <v>5.2168191092000002</v>
      </c>
      <c r="P29" s="69">
        <f>[1]!b_stm07_cs(P14,39,P13,1)/100000000</f>
        <v>50.455594100399999</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5981262260.7299995</v>
      </c>
      <c r="K96" s="71"/>
      <c r="L96" s="71">
        <f>[1]!b_stm07_bs(L14,75,L13,1)</f>
        <v>7689446862.4200001</v>
      </c>
      <c r="M96" s="71">
        <f>[1]!b_stm07_bs(M14,75,M13,1)</f>
        <v>8829687157</v>
      </c>
      <c r="N96" s="71">
        <f>[1]!b_stm07_bs(N14,75,N13,1)</f>
        <v>6151358708</v>
      </c>
      <c r="O96" s="71">
        <f>[1]!b_stm07_bs(O14,75,O13,1)</f>
        <v>2589298603.1999998</v>
      </c>
      <c r="P96" s="71">
        <f>[1]!b_stm07_bs(P14,75,P13,1)</f>
        <v>567865564.49000001</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109619995.31</v>
      </c>
      <c r="K97" s="71"/>
      <c r="L97" s="71">
        <f>[1]!b_stm07_bs(L14,82,L13,1)</f>
        <v>428278145.94</v>
      </c>
      <c r="M97" s="71">
        <f>[1]!b_stm07_bs(M14,82,M13,1)</f>
        <v>59015815.090000004</v>
      </c>
      <c r="N97" s="71">
        <f>[1]!b_stm07_bs(N14,82,N13,1)</f>
        <v>101059707.55</v>
      </c>
      <c r="O97" s="71">
        <f>[1]!b_stm07_bs(O14,82,O13,1)</f>
        <v>13420347.689999999</v>
      </c>
      <c r="P97" s="71">
        <f>[1]!b_stm07_bs(P14,82,P13,1)</f>
        <v>87252549.510000005</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973738952</v>
      </c>
      <c r="K98" s="71"/>
      <c r="L98" s="71">
        <f>[1]!b_stm07_bs(L14,88,L13,1)</f>
        <v>7943435697.1199999</v>
      </c>
      <c r="M98" s="71">
        <f>[1]!b_stm07_bs(M14,88,M13,1)</f>
        <v>1136638973.28</v>
      </c>
      <c r="N98" s="71">
        <f>[1]!b_stm07_bs(N14,88,N13,1)</f>
        <v>7739392.1600000001</v>
      </c>
      <c r="O98" s="71">
        <f>[1]!b_stm07_bs(O14,88,O13,1)</f>
        <v>602117401.20000005</v>
      </c>
      <c r="P98" s="71">
        <f>[1]!b_stm07_bs(P14,88,P13,1)</f>
        <v>78484431.510000005</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180396736</v>
      </c>
      <c r="K100" s="71"/>
      <c r="L100" s="71">
        <f>[1]!b_stm07_bs(L14,94,L13,1)</f>
        <v>5791732916.3900003</v>
      </c>
      <c r="M100" s="71">
        <f>[1]!b_stm07_bs(M14,94,M13,1)</f>
        <v>1563203800.6900001</v>
      </c>
      <c r="N100" s="71">
        <f>[1]!b_stm07_bs(N14,94,N13,1)</f>
        <v>98000000</v>
      </c>
      <c r="O100" s="71">
        <f>[1]!b_stm07_bs(O14,94,O13,1)</f>
        <v>2614118407.1999998</v>
      </c>
      <c r="P100" s="71">
        <f>[1]!b_stm07_bs(P14,94,P13,1)</f>
        <v>259042000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3000000000</v>
      </c>
      <c r="K101" s="71"/>
      <c r="L101" s="71">
        <f>[1]!b_stm07_bs(L14,95,L13,1)</f>
        <v>3693415353.1300001</v>
      </c>
      <c r="M101" s="71">
        <f>[1]!b_stm07_bs(M14,95,M13,1)</f>
        <v>600000000</v>
      </c>
      <c r="N101" s="71">
        <f>[1]!b_stm07_bs(N14,95,N13,1)</f>
        <v>2450000000</v>
      </c>
      <c r="O101" s="71">
        <f>[1]!b_stm07_bs(O14,95,O13,1)</f>
        <v>1491653647.3499999</v>
      </c>
      <c r="P101" s="71">
        <f>[1]!b_stm07_bs(P14,95,P13,1)</f>
        <v>3093206141.1799998</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8441687347.0699997</v>
      </c>
      <c r="K103" s="71"/>
      <c r="L103" s="71">
        <f>[1]!b_stm07_bs(L14,141,L13,1)</f>
        <v>25072822232.099998</v>
      </c>
      <c r="M103" s="71">
        <f>[1]!b_stm07_bs(M14,141,M13,1)</f>
        <v>6989028666.5900002</v>
      </c>
      <c r="N103" s="71">
        <f>[1]!b_stm07_bs(N14,141,N13,1)</f>
        <v>21368605470.700001</v>
      </c>
      <c r="O103" s="71">
        <f>[1]!b_stm07_bs(O14,141,O13,1)</f>
        <v>6081572709.7700005</v>
      </c>
      <c r="P103" s="71">
        <f>[1]!b_stm07_bs(P14,141,P13,1)</f>
        <v>10776649215.73</v>
      </c>
      <c r="Q103" s="71">
        <f>[1]!b_stm07_bs(Q14,141,Q13,1)</f>
        <v>0</v>
      </c>
      <c r="R103" s="71">
        <f>[1]!b_stm07_bs(R14,141,R13,1)</f>
        <v>0</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d19041219.IB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0.72517300000000007</v>
      </c>
      <c r="C109" s="54" t="s">
        <v>36</v>
      </c>
      <c r="D109" s="72">
        <f>[1]!s_fa_current(A2,B2)</f>
        <v>1.1142000000000001</v>
      </c>
      <c r="E109" s="54" t="s">
        <v>41</v>
      </c>
      <c r="F109" s="73">
        <f>[1]!s_fa_salescashintoor(A2,B2)/100</f>
        <v>1.0966</v>
      </c>
      <c r="G109" s="54" t="s">
        <v>42</v>
      </c>
      <c r="H109" s="12">
        <f>S109/100</f>
        <v>5.1257000000000004E-2</v>
      </c>
      <c r="I109" s="54"/>
      <c r="J109" s="16"/>
      <c r="K109" s="25"/>
      <c r="L109" s="34" t="s">
        <v>61</v>
      </c>
      <c r="M109" s="74">
        <f>[1]!s_fa_debttoassets(A2,B2)</f>
        <v>72.517300000000006</v>
      </c>
      <c r="N109" s="54" t="s">
        <v>36</v>
      </c>
      <c r="O109" s="35"/>
      <c r="P109" s="54" t="s">
        <v>41</v>
      </c>
      <c r="Q109" s="35"/>
      <c r="R109" s="54" t="s">
        <v>42</v>
      </c>
      <c r="S109" s="75">
        <f>[1]!s_fa_grossprofitmargin(A2,B2)</f>
        <v>5.1257000000000001</v>
      </c>
    </row>
    <row r="110" spans="1:19" ht="15.75" customHeight="1" x14ac:dyDescent="0.25">
      <c r="A110" s="54" t="s">
        <v>62</v>
      </c>
      <c r="B110" s="12">
        <f>M110/100</f>
        <v>0.65608199999999994</v>
      </c>
      <c r="C110" s="54" t="s">
        <v>63</v>
      </c>
      <c r="D110" s="73">
        <f>[1]!s_fa_quick(A2,B2)</f>
        <v>0.90069999999999995</v>
      </c>
      <c r="E110" s="54" t="s">
        <v>64</v>
      </c>
      <c r="F110" s="72">
        <f>[1]!s_fa_arturn(A2,B2)</f>
        <v>8.8325999999999993</v>
      </c>
      <c r="G110" s="54" t="s">
        <v>65</v>
      </c>
      <c r="H110" s="12">
        <f>S110/100</f>
        <v>3.1553999999999999E-2</v>
      </c>
      <c r="I110" s="54"/>
      <c r="J110" s="16"/>
      <c r="L110" s="54" t="s">
        <v>62</v>
      </c>
      <c r="M110" s="74">
        <f>[1]!s_fa_catoassets(A2,B2)</f>
        <v>65.608199999999997</v>
      </c>
      <c r="N110" s="54" t="s">
        <v>63</v>
      </c>
      <c r="O110" s="35"/>
      <c r="P110" s="54" t="s">
        <v>64</v>
      </c>
      <c r="Q110" s="73"/>
      <c r="R110" s="54" t="s">
        <v>65</v>
      </c>
      <c r="S110" s="75">
        <f>[1]!s_fa_optogr(A2,B2)</f>
        <v>3.1554000000000002</v>
      </c>
    </row>
    <row r="111" spans="1:19" ht="15" customHeight="1" x14ac:dyDescent="0.25">
      <c r="A111" s="54" t="s">
        <v>66</v>
      </c>
      <c r="B111" s="12">
        <f>M111/100</f>
        <v>0.81197100000000011</v>
      </c>
      <c r="C111" s="54" t="s">
        <v>39</v>
      </c>
      <c r="D111" s="73">
        <f>[1]!s_fa_ebitdatodebt(A2,B2)</f>
        <v>7.6200000000000004E-2</v>
      </c>
      <c r="E111" s="54" t="s">
        <v>67</v>
      </c>
      <c r="F111" s="72">
        <f>[1]!s_fa_invturn(A2,B2)</f>
        <v>9.4591999999999992</v>
      </c>
      <c r="G111" s="54" t="s">
        <v>45</v>
      </c>
      <c r="H111" s="12">
        <f>S111/100</f>
        <v>9.5431000000000002E-2</v>
      </c>
      <c r="I111" s="54"/>
      <c r="J111" s="16"/>
      <c r="L111" s="54" t="s">
        <v>66</v>
      </c>
      <c r="M111" s="74">
        <f>[1]!s_fa_currentdebttodebt(A2,B2)</f>
        <v>81.197100000000006</v>
      </c>
      <c r="N111" s="54" t="s">
        <v>39</v>
      </c>
      <c r="O111" s="35"/>
      <c r="P111" s="54" t="s">
        <v>67</v>
      </c>
      <c r="Q111" s="35"/>
      <c r="R111" s="54" t="s">
        <v>45</v>
      </c>
      <c r="S111" s="75">
        <f>[1]!s_fa_roe(A2,B2)</f>
        <v>9.5431000000000008</v>
      </c>
    </row>
    <row r="112" spans="1:19" ht="14.25" customHeight="1" x14ac:dyDescent="0.25">
      <c r="A112" s="54" t="s">
        <v>38</v>
      </c>
      <c r="B112" s="76">
        <f>(M116+M117+M118+M119+M120+M121)/M123</f>
        <v>1.2136220547893086</v>
      </c>
      <c r="C112" s="54" t="s">
        <v>68</v>
      </c>
      <c r="D112" s="73">
        <f>[1]!s_fa_ebittointerest(A2,B2)</f>
        <v>3.6869999999999998</v>
      </c>
      <c r="E112" s="54" t="s">
        <v>69</v>
      </c>
      <c r="F112" s="72">
        <f>[1]!s_fa_caturn(A2,B2)</f>
        <v>1.8265</v>
      </c>
      <c r="G112" s="54" t="s">
        <v>70</v>
      </c>
      <c r="H112" s="12">
        <f>S112/100</f>
        <v>5.2019999999999997E-2</v>
      </c>
      <c r="I112" s="54"/>
      <c r="J112" s="16"/>
      <c r="L112" s="54" t="s">
        <v>38</v>
      </c>
      <c r="M112" s="77"/>
      <c r="N112" s="54" t="s">
        <v>68</v>
      </c>
      <c r="O112" s="35"/>
      <c r="P112" s="54" t="s">
        <v>69</v>
      </c>
      <c r="Q112" s="35"/>
      <c r="R112" s="54" t="s">
        <v>70</v>
      </c>
      <c r="S112" s="75">
        <f>[1]!s_fa_roa2(A2,B2)</f>
        <v>5.202</v>
      </c>
    </row>
    <row r="113" spans="1:21" x14ac:dyDescent="0.25">
      <c r="A113" s="30"/>
      <c r="B113" s="31"/>
      <c r="C113" s="30"/>
      <c r="D113" s="32"/>
      <c r="E113" s="30" t="s">
        <v>71</v>
      </c>
      <c r="F113" s="78">
        <f>[1]!s_fa_dupont_faturnover(A2,B2)</f>
        <v>1.1933</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5981262260.7299995</v>
      </c>
    </row>
    <row r="117" spans="1:21" ht="14.25" customHeight="1" x14ac:dyDescent="0.25">
      <c r="A117" s="54" t="s">
        <v>77</v>
      </c>
      <c r="B117" s="73">
        <f t="shared" ref="B117:B131" si="1">M127/100000000</f>
        <v>60.786360862899997</v>
      </c>
      <c r="C117" s="54" t="s">
        <v>78</v>
      </c>
      <c r="D117" s="76">
        <f t="shared" ref="D117:D125" si="2">O127/100000000</f>
        <v>367.99957717580003</v>
      </c>
      <c r="E117" s="131" t="s">
        <v>79</v>
      </c>
      <c r="F117" s="124"/>
      <c r="G117" s="124"/>
      <c r="H117" s="132">
        <f t="shared" ref="H117:H131" si="3">S127/100000000</f>
        <v>403.5425225601</v>
      </c>
      <c r="I117" s="124"/>
      <c r="J117" s="124"/>
      <c r="L117" s="17" t="s">
        <v>48</v>
      </c>
      <c r="M117" s="71">
        <f>[1]!b_stm07_bs(K107,82,L107,1)</f>
        <v>109619995.31</v>
      </c>
    </row>
    <row r="118" spans="1:21" ht="14.25" customHeight="1" x14ac:dyDescent="0.25">
      <c r="A118" s="54" t="s">
        <v>80</v>
      </c>
      <c r="B118" s="73">
        <f t="shared" si="1"/>
        <v>34.9225167154</v>
      </c>
      <c r="C118" s="54" t="s">
        <v>81</v>
      </c>
      <c r="D118" s="76">
        <f t="shared" si="2"/>
        <v>372.35876301980005</v>
      </c>
      <c r="E118" s="131" t="s">
        <v>82</v>
      </c>
      <c r="F118" s="124"/>
      <c r="G118" s="124"/>
      <c r="H118" s="132">
        <f t="shared" si="3"/>
        <v>4.9170376317000004</v>
      </c>
      <c r="I118" s="124"/>
      <c r="J118" s="124"/>
      <c r="L118" s="17" t="s">
        <v>49</v>
      </c>
      <c r="M118" s="71">
        <f>[1]!b_stm07_bs(K107,88,L107,1)</f>
        <v>973738952</v>
      </c>
    </row>
    <row r="119" spans="1:21" ht="14.25" customHeight="1" x14ac:dyDescent="0.25">
      <c r="A119" s="54" t="s">
        <v>83</v>
      </c>
      <c r="B119" s="73">
        <f t="shared" si="1"/>
        <v>2.0690921922999999</v>
      </c>
      <c r="C119" s="54" t="s">
        <v>84</v>
      </c>
      <c r="D119" s="76">
        <f t="shared" si="2"/>
        <v>349.1369126939</v>
      </c>
      <c r="E119" s="131" t="s">
        <v>85</v>
      </c>
      <c r="F119" s="124"/>
      <c r="G119" s="124"/>
      <c r="H119" s="133">
        <f t="shared" si="3"/>
        <v>428.26905691050001</v>
      </c>
      <c r="I119" s="124"/>
      <c r="J119" s="124"/>
      <c r="L119" s="17" t="s">
        <v>50</v>
      </c>
      <c r="M119" s="71">
        <f>[1]!b_stm07_bs(K107,147,L107,1)</f>
        <v>0</v>
      </c>
    </row>
    <row r="120" spans="1:21" ht="14.25" customHeight="1" x14ac:dyDescent="0.25">
      <c r="A120" s="54" t="s">
        <v>86</v>
      </c>
      <c r="B120" s="73">
        <f t="shared" si="1"/>
        <v>10.1377397982</v>
      </c>
      <c r="C120" s="54" t="s">
        <v>87</v>
      </c>
      <c r="D120" s="76">
        <f t="shared" si="2"/>
        <v>8.5629464681999998</v>
      </c>
      <c r="E120" s="131" t="s">
        <v>88</v>
      </c>
      <c r="F120" s="124"/>
      <c r="G120" s="124"/>
      <c r="H120" s="132">
        <f t="shared" si="3"/>
        <v>392.94758086680002</v>
      </c>
      <c r="I120" s="124"/>
      <c r="J120" s="124"/>
      <c r="L120" s="17" t="s">
        <v>51</v>
      </c>
      <c r="M120" s="71">
        <f>[1]!b_stm07_bs(K107,94,L107,1)</f>
        <v>180396736</v>
      </c>
    </row>
    <row r="121" spans="1:21" ht="14.25" customHeight="1" x14ac:dyDescent="0.25">
      <c r="A121" s="54" t="s">
        <v>89</v>
      </c>
      <c r="B121" s="73">
        <f t="shared" si="1"/>
        <v>1.8904022941</v>
      </c>
      <c r="C121" s="54" t="s">
        <v>90</v>
      </c>
      <c r="D121" s="76">
        <f t="shared" si="2"/>
        <v>5.9197668399000003</v>
      </c>
      <c r="E121" s="131" t="s">
        <v>91</v>
      </c>
      <c r="F121" s="124"/>
      <c r="G121" s="124"/>
      <c r="H121" s="132">
        <f t="shared" si="3"/>
        <v>10.768395055599999</v>
      </c>
      <c r="I121" s="124"/>
      <c r="J121" s="124"/>
      <c r="L121" s="17" t="s">
        <v>52</v>
      </c>
      <c r="M121" s="71">
        <f>[1]!b_stm07_bs(K107,95,L107,1)</f>
        <v>3000000000</v>
      </c>
    </row>
    <row r="122" spans="1:21" ht="14.25" customHeight="1" x14ac:dyDescent="0.25">
      <c r="A122" s="54" t="s">
        <v>92</v>
      </c>
      <c r="B122" s="73">
        <f t="shared" si="1"/>
        <v>1.245251809</v>
      </c>
      <c r="C122" s="54" t="s">
        <v>93</v>
      </c>
      <c r="D122" s="76">
        <f t="shared" si="2"/>
        <v>5.1348324920000001</v>
      </c>
      <c r="E122" s="131" t="s">
        <v>94</v>
      </c>
      <c r="F122" s="124"/>
      <c r="G122" s="124"/>
      <c r="H122" s="133">
        <f t="shared" si="3"/>
        <v>417.62014308720001</v>
      </c>
      <c r="I122" s="124"/>
      <c r="J122" s="124"/>
      <c r="L122" s="17"/>
      <c r="M122" s="17"/>
    </row>
    <row r="123" spans="1:21" ht="14.25" customHeight="1" x14ac:dyDescent="0.25">
      <c r="A123" s="54" t="s">
        <v>95</v>
      </c>
      <c r="B123" s="79">
        <f t="shared" si="1"/>
        <v>307.16384245580002</v>
      </c>
      <c r="C123" s="54" t="s">
        <v>96</v>
      </c>
      <c r="D123" s="76">
        <f t="shared" si="2"/>
        <v>11.611689983699998</v>
      </c>
      <c r="E123" s="131" t="s">
        <v>97</v>
      </c>
      <c r="F123" s="124"/>
      <c r="G123" s="124"/>
      <c r="H123" s="133">
        <f t="shared" si="3"/>
        <v>10.648913823300001</v>
      </c>
      <c r="I123" s="124"/>
      <c r="J123" s="124"/>
      <c r="L123" s="17" t="s">
        <v>53</v>
      </c>
      <c r="M123" s="71">
        <f>[1]!b_stm07_bs(K107,141,L107,1)</f>
        <v>8441687347.0699997</v>
      </c>
    </row>
    <row r="124" spans="1:21" ht="14.25" customHeight="1" x14ac:dyDescent="0.25">
      <c r="A124" s="54" t="s">
        <v>98</v>
      </c>
      <c r="B124" s="73">
        <f t="shared" si="1"/>
        <v>59.812622607299993</v>
      </c>
      <c r="C124" s="54" t="s">
        <v>99</v>
      </c>
      <c r="D124" s="76">
        <f t="shared" si="2"/>
        <v>11.6916125717</v>
      </c>
      <c r="E124" s="131" t="s">
        <v>100</v>
      </c>
      <c r="F124" s="124"/>
      <c r="G124" s="124"/>
      <c r="H124" s="133">
        <f t="shared" si="3"/>
        <v>12.97360246</v>
      </c>
      <c r="I124" s="124"/>
      <c r="J124" s="124"/>
      <c r="L124" s="17"/>
      <c r="M124" s="17"/>
    </row>
    <row r="125" spans="1:21" ht="27" customHeight="1" x14ac:dyDescent="0.25">
      <c r="A125" s="54" t="s">
        <v>101</v>
      </c>
      <c r="B125" s="73">
        <f t="shared" si="1"/>
        <v>9.7373895200000007</v>
      </c>
      <c r="C125" s="54" t="s">
        <v>43</v>
      </c>
      <c r="D125" s="76">
        <f t="shared" si="2"/>
        <v>8.688794335499999</v>
      </c>
      <c r="E125" s="131" t="s">
        <v>102</v>
      </c>
      <c r="F125" s="124"/>
      <c r="G125" s="124"/>
      <c r="H125" s="132">
        <f t="shared" si="3"/>
        <v>2.16E-3</v>
      </c>
      <c r="I125" s="124"/>
      <c r="J125" s="124"/>
      <c r="L125" s="17"/>
      <c r="M125" s="17"/>
    </row>
    <row r="126" spans="1:21" ht="16.5" customHeight="1" x14ac:dyDescent="0.25">
      <c r="A126" s="54" t="s">
        <v>103</v>
      </c>
      <c r="B126" s="73">
        <f t="shared" si="1"/>
        <v>0</v>
      </c>
      <c r="C126" s="54"/>
      <c r="D126" s="80"/>
      <c r="E126" s="131" t="s">
        <v>104</v>
      </c>
      <c r="F126" s="124"/>
      <c r="G126" s="124"/>
      <c r="H126" s="132">
        <f t="shared" si="3"/>
        <v>130.4651289251</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1.8039673599999999</v>
      </c>
      <c r="C127" s="54"/>
      <c r="D127" s="80"/>
      <c r="E127" s="131" t="s">
        <v>106</v>
      </c>
      <c r="F127" s="124"/>
      <c r="G127" s="124"/>
      <c r="H127" s="132">
        <f t="shared" si="3"/>
        <v>10</v>
      </c>
      <c r="I127" s="124"/>
      <c r="J127" s="124"/>
      <c r="L127" s="54" t="s">
        <v>77</v>
      </c>
      <c r="M127" s="75">
        <f>[1]!b_stm07_bs(K107,9,L107,1)</f>
        <v>6078636086.29</v>
      </c>
      <c r="N127" s="54" t="s">
        <v>78</v>
      </c>
      <c r="O127" s="75">
        <f>[1]!b_stm07_is(K107,83,L107,1)</f>
        <v>36799957717.580002</v>
      </c>
      <c r="P127" s="131" t="s">
        <v>79</v>
      </c>
      <c r="Q127" s="124"/>
      <c r="R127" s="124"/>
      <c r="S127" s="136">
        <f>[1]!b_stm07_cs(K107,9,L107,1)</f>
        <v>40354252256.010002</v>
      </c>
      <c r="T127" s="135"/>
      <c r="U127" s="135"/>
    </row>
    <row r="128" spans="1:21" ht="14.25" customHeight="1" x14ac:dyDescent="0.25">
      <c r="A128" s="54" t="s">
        <v>107</v>
      </c>
      <c r="B128" s="73">
        <f t="shared" si="1"/>
        <v>30</v>
      </c>
      <c r="C128" s="54"/>
      <c r="D128" s="80"/>
      <c r="E128" s="131" t="s">
        <v>108</v>
      </c>
      <c r="F128" s="124"/>
      <c r="G128" s="124"/>
      <c r="H128" s="133">
        <f t="shared" si="3"/>
        <v>140.595856062</v>
      </c>
      <c r="I128" s="124"/>
      <c r="J128" s="124"/>
      <c r="L128" s="54" t="s">
        <v>80</v>
      </c>
      <c r="M128" s="75">
        <f>[1]!b_stm07_bs(K107,12,L107,1)</f>
        <v>3492251671.54</v>
      </c>
      <c r="N128" s="54" t="s">
        <v>81</v>
      </c>
      <c r="O128" s="75">
        <f>[1]!b_stm07_is(K107,84,L107,1)</f>
        <v>37235876301.980003</v>
      </c>
      <c r="P128" s="131" t="s">
        <v>82</v>
      </c>
      <c r="Q128" s="124"/>
      <c r="R128" s="124"/>
      <c r="S128" s="136">
        <f>[1]!b_stm07_cs(K107,11,L107,1)</f>
        <v>491703763.17000002</v>
      </c>
      <c r="T128" s="135"/>
      <c r="U128" s="135"/>
    </row>
    <row r="129" spans="1:21" ht="14.25" customHeight="1" x14ac:dyDescent="0.25">
      <c r="A129" s="54" t="s">
        <v>109</v>
      </c>
      <c r="B129" s="79">
        <f t="shared" si="1"/>
        <v>222.74696898509998</v>
      </c>
      <c r="C129" s="14"/>
      <c r="D129" s="13"/>
      <c r="E129" s="131" t="s">
        <v>110</v>
      </c>
      <c r="F129" s="124"/>
      <c r="G129" s="124"/>
      <c r="H129" s="132">
        <f t="shared" si="3"/>
        <v>146.9056524776</v>
      </c>
      <c r="I129" s="124"/>
      <c r="J129" s="124"/>
      <c r="L129" s="54" t="s">
        <v>83</v>
      </c>
      <c r="M129" s="75">
        <f>[1]!b_stm07_bs(K107,13,L107,1)</f>
        <v>206909219.22999999</v>
      </c>
      <c r="N129" s="54" t="s">
        <v>84</v>
      </c>
      <c r="O129" s="75">
        <f>[1]!b_stm07_is(K107,10,L107,1)</f>
        <v>34913691269.389999</v>
      </c>
      <c r="P129" s="131" t="s">
        <v>85</v>
      </c>
      <c r="Q129" s="124"/>
      <c r="R129" s="124"/>
      <c r="S129" s="137">
        <f>[1]!b_stm07_cs(K107,25,L107,1)</f>
        <v>42826905691.050003</v>
      </c>
      <c r="T129" s="135"/>
      <c r="U129" s="135"/>
    </row>
    <row r="130" spans="1:21" ht="14.25" customHeight="1" x14ac:dyDescent="0.25">
      <c r="A130" s="54" t="s">
        <v>111</v>
      </c>
      <c r="B130" s="79">
        <f t="shared" si="1"/>
        <v>84.416873470699997</v>
      </c>
      <c r="C130" s="14"/>
      <c r="D130" s="13"/>
      <c r="E130" s="131" t="s">
        <v>112</v>
      </c>
      <c r="F130" s="124"/>
      <c r="G130" s="124"/>
      <c r="H130" s="132">
        <f t="shared" si="3"/>
        <v>157.77390836860002</v>
      </c>
      <c r="I130" s="124"/>
      <c r="J130" s="124"/>
      <c r="L130" s="54" t="s">
        <v>86</v>
      </c>
      <c r="M130" s="75">
        <f>[1]!b_stm07_bs(K107,31,L107,1)</f>
        <v>1013773979.8200001</v>
      </c>
      <c r="N130" s="54" t="s">
        <v>87</v>
      </c>
      <c r="O130" s="75">
        <f>[1]!b_stm07_is(K107,12,L107,1)</f>
        <v>856294646.82000005</v>
      </c>
      <c r="P130" s="131" t="s">
        <v>88</v>
      </c>
      <c r="Q130" s="124"/>
      <c r="R130" s="124"/>
      <c r="S130" s="136">
        <f>[1]!b_stm07_cs(K107,26,L107,1)</f>
        <v>39294758086.68</v>
      </c>
      <c r="T130" s="135"/>
      <c r="U130" s="135"/>
    </row>
    <row r="131" spans="1:21" ht="14.25" customHeight="1" x14ac:dyDescent="0.25">
      <c r="A131" s="15" t="s">
        <v>113</v>
      </c>
      <c r="B131" s="79">
        <f t="shared" si="1"/>
        <v>307.16384245580002</v>
      </c>
      <c r="C131" s="14"/>
      <c r="D131" s="13"/>
      <c r="E131" s="131" t="s">
        <v>114</v>
      </c>
      <c r="F131" s="124"/>
      <c r="G131" s="124"/>
      <c r="H131" s="133">
        <f t="shared" si="3"/>
        <v>-17.178052306600001</v>
      </c>
      <c r="I131" s="124"/>
      <c r="J131" s="124"/>
      <c r="L131" s="54" t="s">
        <v>89</v>
      </c>
      <c r="M131" s="75">
        <f>[1]!b_stm07_bs(K107,33,L107,1)</f>
        <v>189040229.41</v>
      </c>
      <c r="N131" s="54" t="s">
        <v>90</v>
      </c>
      <c r="O131" s="75">
        <f>[1]!b_stm07_is(K107,13,L107,1)</f>
        <v>591976683.99000001</v>
      </c>
      <c r="P131" s="131" t="s">
        <v>91</v>
      </c>
      <c r="Q131" s="124"/>
      <c r="R131" s="124"/>
      <c r="S131" s="136">
        <f>[1]!b_stm07_cs(K107,29,L107,1)</f>
        <v>1076839505.5599999</v>
      </c>
      <c r="T131" s="135"/>
      <c r="U131" s="135"/>
    </row>
    <row r="132" spans="1:21" x14ac:dyDescent="0.25">
      <c r="L132" s="54" t="s">
        <v>92</v>
      </c>
      <c r="M132" s="75">
        <f>[1]!b_stm07_bs(K107,37,L107,1)</f>
        <v>124525180.90000001</v>
      </c>
      <c r="N132" s="54" t="s">
        <v>93</v>
      </c>
      <c r="O132" s="75">
        <f>[1]!b_stm07_is(K107,14,L107,1)</f>
        <v>513483249.19999999</v>
      </c>
      <c r="P132" s="131" t="s">
        <v>94</v>
      </c>
      <c r="Q132" s="124"/>
      <c r="R132" s="124"/>
      <c r="S132" s="137">
        <f>[1]!b_stm07_cs(K107,37,L107,1)</f>
        <v>41762014308.720001</v>
      </c>
      <c r="T132" s="135"/>
      <c r="U132" s="135"/>
    </row>
    <row r="133" spans="1:21" x14ac:dyDescent="0.25">
      <c r="L133" s="54" t="s">
        <v>95</v>
      </c>
      <c r="M133" s="81">
        <f>[1]!b_stm07_bs(K107,74,L107,1)</f>
        <v>30716384245.580002</v>
      </c>
      <c r="N133" s="54" t="s">
        <v>96</v>
      </c>
      <c r="O133" s="75">
        <f>[1]!b_stm07_is(K107,48,L107,1)</f>
        <v>1161168998.3699999</v>
      </c>
      <c r="P133" s="131" t="s">
        <v>97</v>
      </c>
      <c r="Q133" s="124"/>
      <c r="R133" s="124"/>
      <c r="S133" s="137">
        <f>[1]!b_stm07_cs(K107,39,L107,1)</f>
        <v>1064891382.33</v>
      </c>
      <c r="T133" s="135"/>
      <c r="U133" s="135"/>
    </row>
    <row r="134" spans="1:21" x14ac:dyDescent="0.25">
      <c r="L134" s="54" t="s">
        <v>98</v>
      </c>
      <c r="M134" s="75">
        <f>[1]!b_stm07_bs(K107,75,L107,1)</f>
        <v>5981262260.7299995</v>
      </c>
      <c r="N134" s="54" t="s">
        <v>99</v>
      </c>
      <c r="O134" s="75">
        <f>[1]!b_stm07_is(K107,55,L107,1)</f>
        <v>1169161257.1700001</v>
      </c>
      <c r="P134" s="131" t="s">
        <v>100</v>
      </c>
      <c r="Q134" s="124"/>
      <c r="R134" s="124"/>
      <c r="S134" s="137">
        <f>[1]!b_stm07_cs(K107,59,L107,1)</f>
        <v>1297360246</v>
      </c>
      <c r="T134" s="135"/>
      <c r="U134" s="135"/>
    </row>
    <row r="135" spans="1:21" ht="32.4" customHeight="1" x14ac:dyDescent="0.25">
      <c r="L135" s="54" t="s">
        <v>101</v>
      </c>
      <c r="M135" s="75">
        <f>[1]!b_stm07_bs(K107,88,L107,1)</f>
        <v>973738952</v>
      </c>
      <c r="N135" s="54" t="s">
        <v>43</v>
      </c>
      <c r="O135" s="75">
        <f>[1]!b_stm07_is(K107,60,L107,1)</f>
        <v>868879433.54999995</v>
      </c>
      <c r="P135" s="131" t="s">
        <v>102</v>
      </c>
      <c r="Q135" s="124"/>
      <c r="R135" s="124"/>
      <c r="S135" s="136">
        <f>[1]!b_stm07_cs(K107,60,L107,1)</f>
        <v>216000</v>
      </c>
      <c r="T135" s="135"/>
      <c r="U135" s="135"/>
    </row>
    <row r="136" spans="1:21" ht="21.6" customHeight="1" x14ac:dyDescent="0.25">
      <c r="L136" s="54" t="s">
        <v>103</v>
      </c>
      <c r="M136" s="75">
        <f>[1]!b_stm07_bs(K107,147,L107,1)</f>
        <v>0</v>
      </c>
      <c r="N136" s="54"/>
      <c r="O136" s="80"/>
      <c r="P136" s="131" t="s">
        <v>104</v>
      </c>
      <c r="Q136" s="124"/>
      <c r="R136" s="124"/>
      <c r="S136" s="136">
        <f>[1]!b_stm07_cs(K107,61,L107,1)</f>
        <v>13046512892.51</v>
      </c>
      <c r="T136" s="135"/>
      <c r="U136" s="135"/>
    </row>
    <row r="137" spans="1:21" x14ac:dyDescent="0.25">
      <c r="L137" s="54" t="s">
        <v>105</v>
      </c>
      <c r="M137" s="75">
        <f>[1]!b_stm07_bs(K107,94,L107,1)</f>
        <v>180396736</v>
      </c>
      <c r="N137" s="54"/>
      <c r="O137" s="80"/>
      <c r="P137" s="131" t="s">
        <v>106</v>
      </c>
      <c r="Q137" s="124"/>
      <c r="R137" s="124"/>
      <c r="S137" s="136">
        <f>[1]!b_stm07_cs(K107,63,L107,1)</f>
        <v>1000000000</v>
      </c>
      <c r="T137" s="135"/>
      <c r="U137" s="135"/>
    </row>
    <row r="138" spans="1:21" x14ac:dyDescent="0.25">
      <c r="L138" s="54" t="s">
        <v>107</v>
      </c>
      <c r="M138" s="75">
        <f>[1]!b_stm07_bs(K107,95,L107,1)</f>
        <v>3000000000</v>
      </c>
      <c r="N138" s="54"/>
      <c r="O138" s="80"/>
      <c r="P138" s="131" t="s">
        <v>108</v>
      </c>
      <c r="Q138" s="124"/>
      <c r="R138" s="124"/>
      <c r="S138" s="137">
        <f>[1]!b_stm07_cs(K107,68,L107,1)</f>
        <v>14059585606.200001</v>
      </c>
      <c r="T138" s="135"/>
      <c r="U138" s="135"/>
    </row>
    <row r="139" spans="1:21" x14ac:dyDescent="0.25">
      <c r="L139" s="54" t="s">
        <v>109</v>
      </c>
      <c r="M139" s="81">
        <f>[1]!b_stm07_bs(K107,128,L107,1)</f>
        <v>22274696898.509998</v>
      </c>
      <c r="N139" s="14"/>
      <c r="O139" s="13"/>
      <c r="P139" s="131" t="s">
        <v>110</v>
      </c>
      <c r="Q139" s="124"/>
      <c r="R139" s="124"/>
      <c r="S139" s="136">
        <f>[1]!b_stm07_cs(K107,69,L107,1)</f>
        <v>14690565247.76</v>
      </c>
      <c r="T139" s="135"/>
      <c r="U139" s="135"/>
    </row>
    <row r="140" spans="1:21" ht="21.6" customHeight="1" x14ac:dyDescent="0.25">
      <c r="L140" s="54" t="s">
        <v>111</v>
      </c>
      <c r="M140" s="81">
        <f>[1]!b_stm07_bs(K107,141,L107,1)</f>
        <v>8441687347.0699997</v>
      </c>
      <c r="N140" s="14"/>
      <c r="O140" s="13"/>
      <c r="P140" s="131" t="s">
        <v>112</v>
      </c>
      <c r="Q140" s="124"/>
      <c r="R140" s="124"/>
      <c r="S140" s="136">
        <f>[1]!b_stm07_cs(K107,75,L107,1)</f>
        <v>15777390836.860001</v>
      </c>
      <c r="T140" s="135"/>
      <c r="U140" s="135"/>
    </row>
    <row r="141" spans="1:21" ht="21.6" customHeight="1" x14ac:dyDescent="0.25">
      <c r="L141" s="15" t="s">
        <v>113</v>
      </c>
      <c r="M141" s="81">
        <f>[1]!b_stm07_bs(K107,145,L107,1)</f>
        <v>30716384245.580002</v>
      </c>
      <c r="N141" s="14"/>
      <c r="O141" s="13"/>
      <c r="P141" s="131" t="s">
        <v>114</v>
      </c>
      <c r="Q141" s="124"/>
      <c r="R141" s="124"/>
      <c r="S141" s="137">
        <f>[1]!b_stm07_cs(K107,77,L107,1)</f>
        <v>-1717805230.6600001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229</v>
      </c>
      <c r="C2" s="120"/>
      <c r="D2" s="57" t="s">
        <v>3</v>
      </c>
      <c r="E2" s="119" t="s">
        <v>230</v>
      </c>
      <c r="F2" s="120"/>
      <c r="G2" s="120"/>
    </row>
    <row r="3" spans="1:12" ht="14.25" customHeight="1" x14ac:dyDescent="0.25">
      <c r="A3" s="57" t="s">
        <v>4</v>
      </c>
      <c r="B3" s="119" t="s">
        <v>231</v>
      </c>
      <c r="C3" s="120"/>
      <c r="D3" s="57" t="s">
        <v>5</v>
      </c>
      <c r="E3" s="119" t="s">
        <v>232</v>
      </c>
      <c r="F3" s="120"/>
      <c r="G3" s="120"/>
    </row>
    <row r="4" spans="1:12" ht="113.25" customHeight="1" x14ac:dyDescent="0.25">
      <c r="A4" s="57" t="s">
        <v>6</v>
      </c>
      <c r="B4" s="121" t="s">
        <v>233</v>
      </c>
      <c r="C4" s="120"/>
      <c r="D4" s="120"/>
      <c r="E4" s="120"/>
      <c r="F4" s="120"/>
      <c r="G4" s="120"/>
    </row>
    <row r="5" spans="1:12" ht="14.4" x14ac:dyDescent="0.25">
      <c r="A5" s="82" t="s">
        <v>115</v>
      </c>
      <c r="B5" s="140" t="s">
        <v>234</v>
      </c>
      <c r="C5" s="120"/>
      <c r="D5" s="120"/>
      <c r="E5" s="120"/>
      <c r="F5" s="141">
        <v>0.67410003662109375</v>
      </c>
      <c r="G5" s="120"/>
    </row>
    <row r="6" spans="1:12" ht="11.25" customHeight="1" x14ac:dyDescent="0.25">
      <c r="A6" s="82" t="s">
        <v>116</v>
      </c>
      <c r="B6" s="140" t="s">
        <v>235</v>
      </c>
      <c r="C6" s="120"/>
      <c r="D6" s="120"/>
      <c r="E6" s="120"/>
      <c r="F6" s="141">
        <v>4.3600001335144044E-2</v>
      </c>
      <c r="G6" s="120"/>
    </row>
    <row r="7" spans="1:12" ht="11.25" customHeight="1" x14ac:dyDescent="0.25">
      <c r="A7" s="82" t="s">
        <v>117</v>
      </c>
      <c r="B7" s="140" t="s">
        <v>236</v>
      </c>
      <c r="C7" s="120"/>
      <c r="D7" s="120"/>
      <c r="E7" s="120"/>
      <c r="F7" s="141">
        <v>3.2699999809265134E-2</v>
      </c>
      <c r="G7" s="120"/>
    </row>
    <row r="8" spans="1:12" ht="11.25" customHeight="1" x14ac:dyDescent="0.25">
      <c r="A8" s="82" t="s">
        <v>118</v>
      </c>
      <c r="B8" s="140" t="s">
        <v>237</v>
      </c>
      <c r="C8" s="120"/>
      <c r="D8" s="120"/>
      <c r="E8" s="120"/>
      <c r="F8" s="141">
        <v>3.2699999809265134E-2</v>
      </c>
      <c r="G8" s="120"/>
    </row>
    <row r="9" spans="1:12" ht="11.25" customHeight="1" x14ac:dyDescent="0.25">
      <c r="A9" s="82" t="s">
        <v>119</v>
      </c>
      <c r="B9" s="140" t="s">
        <v>238</v>
      </c>
      <c r="C9" s="120"/>
      <c r="D9" s="120"/>
      <c r="E9" s="120"/>
      <c r="F9" s="141">
        <v>2.8299999237060548E-2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5.2</v>
      </c>
      <c r="E13" s="64">
        <v>4.9781420765027322</v>
      </c>
      <c r="F13" s="65" t="s">
        <v>25</v>
      </c>
      <c r="G13" s="64">
        <v>10</v>
      </c>
    </row>
    <row r="14" spans="1:12" ht="14.4" customHeight="1" x14ac:dyDescent="0.25">
      <c r="A14" t="s">
        <v>124</v>
      </c>
      <c r="B14" t="s">
        <v>125</v>
      </c>
      <c r="C14" t="s">
        <v>126</v>
      </c>
      <c r="D14" s="64">
        <v>4.5</v>
      </c>
      <c r="E14" s="83">
        <v>4.9315068493150684E-2</v>
      </c>
      <c r="F14">
        <v>0</v>
      </c>
      <c r="G14" s="64">
        <v>4</v>
      </c>
    </row>
    <row r="15" spans="1:12" ht="14.4" customHeight="1" x14ac:dyDescent="0.25">
      <c r="A15" t="s">
        <v>127</v>
      </c>
      <c r="B15" t="s">
        <v>128</v>
      </c>
      <c r="C15" t="s">
        <v>129</v>
      </c>
      <c r="D15" s="64">
        <v>5.3</v>
      </c>
      <c r="E15" s="83">
        <v>0</v>
      </c>
      <c r="F15">
        <v>0</v>
      </c>
      <c r="G15" s="64">
        <v>3</v>
      </c>
    </row>
    <row r="16" spans="1:12" ht="14.4" customHeight="1" x14ac:dyDescent="0.25">
      <c r="A16" t="s">
        <v>130</v>
      </c>
      <c r="B16" t="s">
        <v>131</v>
      </c>
      <c r="C16" t="s">
        <v>132</v>
      </c>
      <c r="D16" s="64">
        <v>5.68</v>
      </c>
      <c r="E16" s="83">
        <v>3.5890410958904111</v>
      </c>
      <c r="F16" t="s">
        <v>25</v>
      </c>
      <c r="G16" s="64">
        <v>10</v>
      </c>
    </row>
    <row r="17" spans="1:7" ht="14.4" customHeight="1" x14ac:dyDescent="0.25">
      <c r="A17" t="s">
        <v>133</v>
      </c>
      <c r="B17" t="s">
        <v>134</v>
      </c>
      <c r="C17" t="s">
        <v>135</v>
      </c>
      <c r="D17" s="64">
        <v>4.75</v>
      </c>
      <c r="E17" s="83">
        <v>0</v>
      </c>
      <c r="F17">
        <v>0</v>
      </c>
      <c r="G17" s="64">
        <v>7</v>
      </c>
    </row>
    <row r="18" spans="1:7" ht="14.4" customHeight="1" x14ac:dyDescent="0.25">
      <c r="A18" t="s">
        <v>136</v>
      </c>
      <c r="B18" t="s">
        <v>137</v>
      </c>
      <c r="C18" t="s">
        <v>138</v>
      </c>
      <c r="D18" s="64">
        <v>4.9800000000000004</v>
      </c>
      <c r="E18" s="83">
        <v>0</v>
      </c>
      <c r="F18">
        <v>0</v>
      </c>
      <c r="G18" s="64">
        <v>3</v>
      </c>
    </row>
    <row r="19" spans="1:7" ht="14.4" customHeight="1" x14ac:dyDescent="0.25">
      <c r="A19" t="s">
        <v>139</v>
      </c>
      <c r="B19" t="s">
        <v>140</v>
      </c>
      <c r="C19" t="s">
        <v>141</v>
      </c>
      <c r="D19" s="64">
        <v>4.9800000000000004</v>
      </c>
      <c r="E19" s="83">
        <v>0</v>
      </c>
      <c r="F19">
        <v>0</v>
      </c>
      <c r="G19" s="64">
        <v>4</v>
      </c>
    </row>
    <row r="20" spans="1:7" ht="14.4" customHeight="1" x14ac:dyDescent="0.25">
      <c r="A20" t="s">
        <v>142</v>
      </c>
      <c r="B20" t="s">
        <v>143</v>
      </c>
      <c r="C20" t="s">
        <v>144</v>
      </c>
      <c r="D20" s="64">
        <v>4.8600000000000003</v>
      </c>
      <c r="E20" s="83">
        <v>0</v>
      </c>
      <c r="F20">
        <v>0</v>
      </c>
      <c r="G20" s="64">
        <v>3</v>
      </c>
    </row>
    <row r="21" spans="1:7" ht="14.4" customHeight="1" x14ac:dyDescent="0.25">
      <c r="A21" t="s">
        <v>145</v>
      </c>
      <c r="B21" t="s">
        <v>146</v>
      </c>
      <c r="C21" t="s">
        <v>147</v>
      </c>
      <c r="D21" s="64">
        <v>2.99</v>
      </c>
      <c r="E21" s="83">
        <v>0</v>
      </c>
      <c r="F21">
        <v>0</v>
      </c>
      <c r="G21" s="64">
        <v>5</v>
      </c>
    </row>
    <row r="22" spans="1:7" ht="14.4" customHeight="1" x14ac:dyDescent="0.25">
      <c r="A22" t="s">
        <v>148</v>
      </c>
      <c r="B22" t="s">
        <v>149</v>
      </c>
      <c r="C22" t="s">
        <v>150</v>
      </c>
      <c r="D22" s="64">
        <v>3.58</v>
      </c>
      <c r="E22" s="83">
        <v>0.35342465753424657</v>
      </c>
      <c r="F22" t="s">
        <v>25</v>
      </c>
      <c r="G22" s="64">
        <v>20</v>
      </c>
    </row>
    <row r="23" spans="1:7" ht="14.4" customHeight="1" x14ac:dyDescent="0.25">
      <c r="A23" t="s">
        <v>151</v>
      </c>
      <c r="B23" t="s">
        <v>149</v>
      </c>
      <c r="C23" t="s">
        <v>152</v>
      </c>
      <c r="D23" s="64">
        <v>2.93</v>
      </c>
      <c r="E23" s="83">
        <v>0</v>
      </c>
      <c r="F23">
        <v>0</v>
      </c>
      <c r="G23" s="64">
        <v>7</v>
      </c>
    </row>
    <row r="24" spans="1:7" ht="14.4" customHeight="1" x14ac:dyDescent="0.25">
      <c r="A24" t="s">
        <v>153</v>
      </c>
      <c r="B24" t="s">
        <v>154</v>
      </c>
      <c r="C24" t="s">
        <v>155</v>
      </c>
      <c r="D24" s="64">
        <v>2.96</v>
      </c>
      <c r="E24" s="83">
        <v>0</v>
      </c>
      <c r="F24">
        <v>0</v>
      </c>
      <c r="G24" s="64">
        <v>3</v>
      </c>
    </row>
    <row r="25" spans="1:7" ht="14.4" customHeight="1" x14ac:dyDescent="0.25">
      <c r="A25" t="s">
        <v>156</v>
      </c>
      <c r="B25" t="s">
        <v>157</v>
      </c>
      <c r="C25" t="s">
        <v>158</v>
      </c>
      <c r="D25" s="64">
        <v>7.6</v>
      </c>
      <c r="E25" s="83">
        <v>0</v>
      </c>
      <c r="F25" t="s">
        <v>174</v>
      </c>
      <c r="G25" s="64">
        <v>10</v>
      </c>
    </row>
    <row r="26" spans="1:7" ht="14.4" customHeight="1" x14ac:dyDescent="0.25">
      <c r="D26" s="64"/>
      <c r="E26" s="83"/>
      <c r="G26" s="64"/>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A31" s="143" t="s">
        <v>159</v>
      </c>
      <c r="B31" s="143"/>
      <c r="C31" s="143"/>
      <c r="D31" s="143"/>
      <c r="E31" s="83"/>
      <c r="G31" s="64"/>
    </row>
    <row r="32" spans="1:7" ht="14.4" customHeight="1" x14ac:dyDescent="0.25">
      <c r="A32" s="84" t="s">
        <v>160</v>
      </c>
      <c r="B32" s="84" t="s">
        <v>161</v>
      </c>
      <c r="C32" s="84" t="s">
        <v>162</v>
      </c>
      <c r="D32" s="85" t="s">
        <v>163</v>
      </c>
      <c r="E32" s="83"/>
      <c r="G32" s="64"/>
    </row>
    <row r="33" spans="1:7" ht="14.4" customHeight="1" x14ac:dyDescent="0.25">
      <c r="A33" t="s">
        <v>164</v>
      </c>
      <c r="B33" t="s">
        <v>25</v>
      </c>
      <c r="C33" t="s">
        <v>165</v>
      </c>
      <c r="D33" s="64" t="s">
        <v>166</v>
      </c>
      <c r="E33" s="83"/>
      <c r="G33" s="64"/>
    </row>
    <row r="34" spans="1:7" ht="14.4" customHeight="1" x14ac:dyDescent="0.25">
      <c r="A34" t="s">
        <v>167</v>
      </c>
      <c r="B34" t="s">
        <v>25</v>
      </c>
      <c r="C34" t="s">
        <v>165</v>
      </c>
      <c r="D34" s="64" t="s">
        <v>168</v>
      </c>
      <c r="E34" s="83"/>
      <c r="G34" s="64"/>
    </row>
    <row r="35" spans="1:7" ht="14.4" customHeight="1" x14ac:dyDescent="0.25">
      <c r="A35" t="s">
        <v>169</v>
      </c>
      <c r="B35" t="s">
        <v>25</v>
      </c>
      <c r="C35" t="s">
        <v>165</v>
      </c>
      <c r="D35" s="64" t="s">
        <v>168</v>
      </c>
      <c r="E35" s="83"/>
      <c r="G35" s="64"/>
    </row>
    <row r="36" spans="1:7" ht="14.4" customHeight="1" x14ac:dyDescent="0.25">
      <c r="A36" t="s">
        <v>170</v>
      </c>
      <c r="B36" t="s">
        <v>25</v>
      </c>
      <c r="C36" t="s">
        <v>165</v>
      </c>
      <c r="D36" s="64" t="s">
        <v>166</v>
      </c>
      <c r="E36" s="83"/>
      <c r="G36" s="64"/>
    </row>
    <row r="37" spans="1:7" ht="14.4" customHeight="1" x14ac:dyDescent="0.25">
      <c r="A37" t="s">
        <v>171</v>
      </c>
      <c r="B37" t="s">
        <v>25</v>
      </c>
      <c r="C37" t="s">
        <v>165</v>
      </c>
      <c r="D37" s="64" t="s">
        <v>168</v>
      </c>
      <c r="E37" s="83"/>
      <c r="G37" s="64"/>
    </row>
    <row r="38" spans="1:7" ht="14.4" customHeight="1" x14ac:dyDescent="0.25">
      <c r="A38" t="s">
        <v>171</v>
      </c>
      <c r="B38" t="s">
        <v>25</v>
      </c>
      <c r="C38" t="s">
        <v>165</v>
      </c>
      <c r="D38" s="64" t="s">
        <v>166</v>
      </c>
      <c r="E38" s="83"/>
      <c r="G38" s="64"/>
    </row>
    <row r="39" spans="1:7" ht="14.4" customHeight="1" x14ac:dyDescent="0.25">
      <c r="A39" t="s">
        <v>172</v>
      </c>
      <c r="B39" t="s">
        <v>25</v>
      </c>
      <c r="C39" t="s">
        <v>165</v>
      </c>
      <c r="D39" s="64" t="s">
        <v>166</v>
      </c>
      <c r="E39" s="83"/>
      <c r="G39" s="64"/>
    </row>
    <row r="40" spans="1:7" ht="14.4" customHeight="1" x14ac:dyDescent="0.25">
      <c r="A40" t="s">
        <v>173</v>
      </c>
      <c r="B40" t="s">
        <v>174</v>
      </c>
      <c r="C40" t="s">
        <v>165</v>
      </c>
      <c r="D40" s="64" t="s">
        <v>175</v>
      </c>
      <c r="E40" s="83"/>
      <c r="G40" s="64"/>
    </row>
    <row r="41" spans="1:7" ht="14.4" customHeight="1" x14ac:dyDescent="0.25">
      <c r="A41" t="s">
        <v>176</v>
      </c>
      <c r="B41" t="s">
        <v>25</v>
      </c>
      <c r="C41" t="s">
        <v>165</v>
      </c>
      <c r="D41" s="64" t="s">
        <v>168</v>
      </c>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177</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1:D3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0.72517300000000007</v>
      </c>
      <c r="C4" s="57" t="s">
        <v>36</v>
      </c>
      <c r="D4" s="87">
        <v>1.1142000000000001</v>
      </c>
      <c r="E4" s="57" t="s">
        <v>41</v>
      </c>
      <c r="F4" s="86">
        <v>1.0966</v>
      </c>
      <c r="G4" s="57" t="s">
        <v>42</v>
      </c>
      <c r="H4" s="86">
        <v>5.1257000000000004E-2</v>
      </c>
      <c r="I4" s="57"/>
      <c r="J4" s="88"/>
    </row>
    <row r="5" spans="1:10" ht="15.75" customHeight="1" x14ac:dyDescent="0.25">
      <c r="A5" s="57" t="s">
        <v>62</v>
      </c>
      <c r="B5" s="86">
        <v>0.65608199999999994</v>
      </c>
      <c r="C5" s="57" t="s">
        <v>63</v>
      </c>
      <c r="D5" s="87">
        <v>0.90069999999999995</v>
      </c>
      <c r="E5" s="57" t="s">
        <v>64</v>
      </c>
      <c r="F5" s="87">
        <v>8.8325999999999993</v>
      </c>
      <c r="G5" s="57" t="s">
        <v>65</v>
      </c>
      <c r="H5" s="86">
        <v>3.1553999999999999E-2</v>
      </c>
      <c r="I5" s="57"/>
      <c r="J5" s="88"/>
    </row>
    <row r="6" spans="1:10" ht="15" customHeight="1" x14ac:dyDescent="0.25">
      <c r="A6" s="57" t="s">
        <v>66</v>
      </c>
      <c r="B6" s="86">
        <v>0.81197100000000011</v>
      </c>
      <c r="C6" s="57" t="s">
        <v>39</v>
      </c>
      <c r="D6" s="89">
        <v>7.6200000000000004E-2</v>
      </c>
      <c r="E6" s="57" t="s">
        <v>67</v>
      </c>
      <c r="F6" s="87">
        <v>9.4591999999999992</v>
      </c>
      <c r="G6" s="57" t="s">
        <v>45</v>
      </c>
      <c r="H6" s="86">
        <v>9.5431000000000002E-2</v>
      </c>
      <c r="I6" s="57"/>
      <c r="J6" s="88"/>
    </row>
    <row r="7" spans="1:10" ht="14.25" customHeight="1" x14ac:dyDescent="0.25">
      <c r="A7" s="57" t="s">
        <v>38</v>
      </c>
      <c r="B7" s="89">
        <v>1.2136220547893086</v>
      </c>
      <c r="C7" s="57" t="s">
        <v>68</v>
      </c>
      <c r="D7" s="89">
        <v>3.6869999999999998</v>
      </c>
      <c r="E7" s="57" t="s">
        <v>69</v>
      </c>
      <c r="F7" s="87">
        <v>1.8265</v>
      </c>
      <c r="G7" s="57" t="s">
        <v>70</v>
      </c>
      <c r="H7" s="86">
        <v>5.2019999999999997E-2</v>
      </c>
      <c r="I7" s="57"/>
      <c r="J7" s="88"/>
    </row>
    <row r="8" spans="1:10" x14ac:dyDescent="0.25">
      <c r="A8" s="57"/>
      <c r="B8" s="90"/>
      <c r="C8" s="57"/>
      <c r="D8" s="91"/>
      <c r="E8" s="57" t="s">
        <v>71</v>
      </c>
      <c r="F8" s="87">
        <v>1.1933</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60.786360862899997</v>
      </c>
      <c r="C12" s="57" t="s">
        <v>78</v>
      </c>
      <c r="D12" s="89">
        <v>367.99957717580003</v>
      </c>
      <c r="E12" s="147" t="s">
        <v>79</v>
      </c>
      <c r="F12" s="120"/>
      <c r="G12" s="120"/>
      <c r="H12" s="148">
        <v>403.5425225601</v>
      </c>
      <c r="I12" s="120"/>
      <c r="J12" s="120"/>
    </row>
    <row r="13" spans="1:10" ht="14.25" customHeight="1" x14ac:dyDescent="0.25">
      <c r="A13" s="57" t="s">
        <v>80</v>
      </c>
      <c r="B13" s="92">
        <v>34.9225167154</v>
      </c>
      <c r="C13" s="57" t="s">
        <v>81</v>
      </c>
      <c r="D13" s="89">
        <v>372.35876301980005</v>
      </c>
      <c r="E13" s="147" t="s">
        <v>82</v>
      </c>
      <c r="F13" s="120"/>
      <c r="G13" s="120"/>
      <c r="H13" s="148">
        <v>4.9170376317000004</v>
      </c>
      <c r="I13" s="120"/>
      <c r="J13" s="120"/>
    </row>
    <row r="14" spans="1:10" ht="14.25" customHeight="1" x14ac:dyDescent="0.25">
      <c r="A14" s="57" t="s">
        <v>83</v>
      </c>
      <c r="B14" s="92">
        <v>2.0690921922999999</v>
      </c>
      <c r="C14" s="57" t="s">
        <v>84</v>
      </c>
      <c r="D14" s="89">
        <v>349.1369126939</v>
      </c>
      <c r="E14" s="147" t="s">
        <v>85</v>
      </c>
      <c r="F14" s="120"/>
      <c r="G14" s="120"/>
      <c r="H14" s="148">
        <v>428.26905691050001</v>
      </c>
      <c r="I14" s="120"/>
      <c r="J14" s="120"/>
    </row>
    <row r="15" spans="1:10" ht="14.25" customHeight="1" x14ac:dyDescent="0.25">
      <c r="A15" s="57" t="s">
        <v>86</v>
      </c>
      <c r="B15" s="92">
        <v>10.1377397982</v>
      </c>
      <c r="C15" s="57" t="s">
        <v>87</v>
      </c>
      <c r="D15" s="89">
        <v>8.5629464681999998</v>
      </c>
      <c r="E15" s="147" t="s">
        <v>88</v>
      </c>
      <c r="F15" s="120"/>
      <c r="G15" s="120"/>
      <c r="H15" s="148">
        <v>392.94758086680002</v>
      </c>
      <c r="I15" s="120"/>
      <c r="J15" s="120"/>
    </row>
    <row r="16" spans="1:10" ht="14.25" customHeight="1" x14ac:dyDescent="0.25">
      <c r="A16" s="57" t="s">
        <v>89</v>
      </c>
      <c r="B16" s="92">
        <v>1.8904022941</v>
      </c>
      <c r="C16" s="57" t="s">
        <v>90</v>
      </c>
      <c r="D16" s="89">
        <v>5.9197668399000003</v>
      </c>
      <c r="E16" s="147" t="s">
        <v>91</v>
      </c>
      <c r="F16" s="120"/>
      <c r="G16" s="120"/>
      <c r="H16" s="148">
        <v>10.768395055599999</v>
      </c>
      <c r="I16" s="120"/>
      <c r="J16" s="120"/>
    </row>
    <row r="17" spans="1:10" ht="14.25" customHeight="1" x14ac:dyDescent="0.25">
      <c r="A17" s="57" t="s">
        <v>92</v>
      </c>
      <c r="B17" s="92">
        <v>1.245251809</v>
      </c>
      <c r="C17" s="57" t="s">
        <v>93</v>
      </c>
      <c r="D17" s="89">
        <v>5.1348324920000001</v>
      </c>
      <c r="E17" s="147" t="s">
        <v>94</v>
      </c>
      <c r="F17" s="120"/>
      <c r="G17" s="120"/>
      <c r="H17" s="148">
        <v>417.62014308720001</v>
      </c>
      <c r="I17" s="120"/>
      <c r="J17" s="120"/>
    </row>
    <row r="18" spans="1:10" ht="14.25" customHeight="1" x14ac:dyDescent="0.25">
      <c r="A18" s="57" t="s">
        <v>95</v>
      </c>
      <c r="B18" s="92">
        <v>307.16384245580002</v>
      </c>
      <c r="C18" s="57" t="s">
        <v>96</v>
      </c>
      <c r="D18" s="89">
        <v>11.611689983699998</v>
      </c>
      <c r="E18" s="147" t="s">
        <v>97</v>
      </c>
      <c r="F18" s="120"/>
      <c r="G18" s="120"/>
      <c r="H18" s="148">
        <v>10.648913823300001</v>
      </c>
      <c r="I18" s="120"/>
      <c r="J18" s="120"/>
    </row>
    <row r="19" spans="1:10" ht="14.25" customHeight="1" x14ac:dyDescent="0.25">
      <c r="A19" s="57" t="s">
        <v>98</v>
      </c>
      <c r="B19" s="92">
        <v>59.812622607299993</v>
      </c>
      <c r="C19" s="57" t="s">
        <v>99</v>
      </c>
      <c r="D19" s="89">
        <v>11.6916125717</v>
      </c>
      <c r="E19" s="147" t="s">
        <v>100</v>
      </c>
      <c r="F19" s="120"/>
      <c r="G19" s="120"/>
      <c r="H19" s="148">
        <v>12.97360246</v>
      </c>
      <c r="I19" s="120"/>
      <c r="J19" s="120"/>
    </row>
    <row r="20" spans="1:10" ht="27" customHeight="1" x14ac:dyDescent="0.25">
      <c r="A20" s="57" t="s">
        <v>101</v>
      </c>
      <c r="B20" s="92">
        <v>9.7373895200000007</v>
      </c>
      <c r="C20" s="57" t="s">
        <v>43</v>
      </c>
      <c r="D20" s="89">
        <v>8.688794335499999</v>
      </c>
      <c r="E20" s="147" t="s">
        <v>102</v>
      </c>
      <c r="F20" s="120"/>
      <c r="G20" s="120"/>
      <c r="H20" s="148">
        <v>2.16E-3</v>
      </c>
      <c r="I20" s="120"/>
      <c r="J20" s="120"/>
    </row>
    <row r="21" spans="1:10" ht="16.5" customHeight="1" x14ac:dyDescent="0.25">
      <c r="A21" s="57" t="s">
        <v>103</v>
      </c>
      <c r="B21" s="92">
        <v>0</v>
      </c>
      <c r="C21" s="57"/>
      <c r="D21" s="93"/>
      <c r="E21" s="147" t="s">
        <v>104</v>
      </c>
      <c r="F21" s="120"/>
      <c r="G21" s="120"/>
      <c r="H21" s="148">
        <v>130.4651289251</v>
      </c>
      <c r="I21" s="120"/>
      <c r="J21" s="120"/>
    </row>
    <row r="22" spans="1:10" ht="14.25" customHeight="1" x14ac:dyDescent="0.25">
      <c r="A22" s="57" t="s">
        <v>105</v>
      </c>
      <c r="B22" s="92">
        <v>1.8039673599999999</v>
      </c>
      <c r="C22" s="57"/>
      <c r="D22" s="93"/>
      <c r="E22" s="147" t="s">
        <v>106</v>
      </c>
      <c r="F22" s="120"/>
      <c r="G22" s="120"/>
      <c r="H22" s="148">
        <v>10</v>
      </c>
      <c r="I22" s="120"/>
      <c r="J22" s="120"/>
    </row>
    <row r="23" spans="1:10" ht="14.25" customHeight="1" x14ac:dyDescent="0.25">
      <c r="A23" s="57" t="s">
        <v>107</v>
      </c>
      <c r="B23" s="92">
        <v>30</v>
      </c>
      <c r="C23" s="57"/>
      <c r="D23" s="93"/>
      <c r="E23" s="147" t="s">
        <v>108</v>
      </c>
      <c r="F23" s="120"/>
      <c r="G23" s="120"/>
      <c r="H23" s="148">
        <v>140.595856062</v>
      </c>
      <c r="I23" s="120"/>
      <c r="J23" s="120"/>
    </row>
    <row r="24" spans="1:10" ht="14.25" customHeight="1" x14ac:dyDescent="0.25">
      <c r="A24" s="57" t="s">
        <v>109</v>
      </c>
      <c r="B24" s="92">
        <v>222.74696898509998</v>
      </c>
      <c r="C24" s="94"/>
      <c r="D24" s="91"/>
      <c r="E24" s="147" t="s">
        <v>110</v>
      </c>
      <c r="F24" s="120"/>
      <c r="G24" s="120"/>
      <c r="H24" s="148">
        <v>146.9056524776</v>
      </c>
      <c r="I24" s="120"/>
      <c r="J24" s="120"/>
    </row>
    <row r="25" spans="1:10" ht="14.25" customHeight="1" x14ac:dyDescent="0.25">
      <c r="A25" s="57" t="s">
        <v>111</v>
      </c>
      <c r="B25" s="92">
        <v>84.416873470699997</v>
      </c>
      <c r="C25" s="94"/>
      <c r="D25" s="91"/>
      <c r="E25" s="147" t="s">
        <v>112</v>
      </c>
      <c r="F25" s="120"/>
      <c r="G25" s="120"/>
      <c r="H25" s="148">
        <v>157.77390836860002</v>
      </c>
      <c r="I25" s="120"/>
      <c r="J25" s="120"/>
    </row>
    <row r="26" spans="1:10" ht="14.25" customHeight="1" x14ac:dyDescent="0.25">
      <c r="A26" s="95" t="s">
        <v>113</v>
      </c>
      <c r="B26" s="92">
        <v>307.16384245580002</v>
      </c>
      <c r="C26" s="94"/>
      <c r="D26" s="91"/>
      <c r="E26" s="147" t="s">
        <v>114</v>
      </c>
      <c r="F26" s="120"/>
      <c r="G26" s="120"/>
      <c r="H26" s="148">
        <v>-17.178052306600001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178</v>
      </c>
      <c r="B1" s="124"/>
      <c r="C1" s="124"/>
      <c r="D1" s="124"/>
      <c r="E1" s="124"/>
      <c r="F1" s="124"/>
      <c r="G1" s="124"/>
      <c r="H1" s="124"/>
      <c r="I1" s="124"/>
    </row>
    <row r="2" spans="1:10" ht="46.5" customHeight="1" x14ac:dyDescent="0.25">
      <c r="A2" s="54" t="s">
        <v>22</v>
      </c>
      <c r="B2" s="43" t="s">
        <v>229</v>
      </c>
      <c r="C2" s="43" t="s">
        <v>179</v>
      </c>
      <c r="D2" s="43" t="s">
        <v>239</v>
      </c>
      <c r="E2" s="43" t="s">
        <v>240</v>
      </c>
      <c r="F2" s="43" t="s">
        <v>241</v>
      </c>
      <c r="G2" s="43" t="s">
        <v>242</v>
      </c>
      <c r="H2" s="43" t="s">
        <v>243</v>
      </c>
      <c r="I2" s="43" t="s">
        <v>244</v>
      </c>
      <c r="J2" s="43" t="s">
        <v>245</v>
      </c>
    </row>
    <row r="3" spans="1:10" x14ac:dyDescent="0.25">
      <c r="A3" s="54" t="s">
        <v>24</v>
      </c>
      <c r="B3" s="97" t="s">
        <v>25</v>
      </c>
      <c r="C3" s="98" t="s">
        <v>180</v>
      </c>
      <c r="D3" s="97" t="s">
        <v>25</v>
      </c>
      <c r="E3" s="97" t="s">
        <v>25</v>
      </c>
      <c r="F3" s="97" t="s">
        <v>25</v>
      </c>
      <c r="G3" s="97" t="s">
        <v>25</v>
      </c>
      <c r="H3" s="97" t="s">
        <v>25</v>
      </c>
      <c r="I3" s="97" t="s">
        <v>25</v>
      </c>
      <c r="J3" s="97" t="s">
        <v>25</v>
      </c>
    </row>
    <row r="4" spans="1:10" s="7" customFormat="1" ht="21.6" x14ac:dyDescent="0.25">
      <c r="A4" s="9" t="s">
        <v>3</v>
      </c>
      <c r="B4" s="99" t="s">
        <v>230</v>
      </c>
      <c r="C4" s="98" t="s">
        <v>180</v>
      </c>
      <c r="D4" s="99" t="s">
        <v>246</v>
      </c>
      <c r="E4" s="99" t="s">
        <v>247</v>
      </c>
      <c r="F4" s="99" t="s">
        <v>230</v>
      </c>
      <c r="G4" s="99" t="s">
        <v>230</v>
      </c>
      <c r="H4" s="99" t="s">
        <v>247</v>
      </c>
      <c r="I4" s="99" t="s">
        <v>247</v>
      </c>
      <c r="J4" s="99" t="s">
        <v>247</v>
      </c>
    </row>
    <row r="5" spans="1:10" s="7" customFormat="1" x14ac:dyDescent="0.25">
      <c r="A5" s="9" t="s">
        <v>29</v>
      </c>
      <c r="B5" s="100" t="s">
        <v>30</v>
      </c>
      <c r="C5" s="98" t="s">
        <v>180</v>
      </c>
      <c r="D5" s="100" t="s">
        <v>30</v>
      </c>
      <c r="E5" s="100" t="s">
        <v>30</v>
      </c>
      <c r="F5" s="100" t="s">
        <v>30</v>
      </c>
      <c r="G5" s="100" t="s">
        <v>30</v>
      </c>
      <c r="H5" s="100" t="s">
        <v>30</v>
      </c>
      <c r="I5" s="100" t="s">
        <v>30</v>
      </c>
      <c r="J5" s="100" t="s">
        <v>30</v>
      </c>
    </row>
    <row r="6" spans="1:10" x14ac:dyDescent="0.25">
      <c r="A6" s="54" t="s">
        <v>32</v>
      </c>
      <c r="B6" s="101">
        <v>307.16384245580002</v>
      </c>
      <c r="C6" s="98">
        <v>266.16954675969998</v>
      </c>
      <c r="D6" s="101">
        <v>669.4443600733</v>
      </c>
      <c r="E6" s="101">
        <v>413.15944384349996</v>
      </c>
      <c r="F6" s="101">
        <v>355.15785965629999</v>
      </c>
      <c r="G6" s="101">
        <v>238.2233322111</v>
      </c>
      <c r="H6" s="101">
        <v>187.20183153369999</v>
      </c>
      <c r="I6" s="101">
        <v>0</v>
      </c>
      <c r="J6" s="101">
        <v>0</v>
      </c>
    </row>
    <row r="7" spans="1:10" x14ac:dyDescent="0.25">
      <c r="A7" s="54" t="s">
        <v>34</v>
      </c>
      <c r="B7" s="44">
        <v>0.72517300000000007</v>
      </c>
      <c r="C7" s="98">
        <v>0.4319547142857143</v>
      </c>
      <c r="D7" s="44">
        <v>0.62546800000000002</v>
      </c>
      <c r="E7" s="44">
        <v>0.83083899999999999</v>
      </c>
      <c r="F7" s="44">
        <v>0.39833499999999999</v>
      </c>
      <c r="G7" s="44">
        <v>0.74471100000000012</v>
      </c>
      <c r="H7" s="44">
        <v>0.42432999999999998</v>
      </c>
      <c r="I7" s="44">
        <v>0</v>
      </c>
      <c r="J7" s="44">
        <v>0</v>
      </c>
    </row>
    <row r="8" spans="1:10" x14ac:dyDescent="0.25">
      <c r="A8" s="54" t="s">
        <v>36</v>
      </c>
      <c r="B8" s="101">
        <v>1.1142000000000001</v>
      </c>
      <c r="C8" s="98">
        <v>0.92915714285714279</v>
      </c>
      <c r="D8" s="101">
        <v>1.2038</v>
      </c>
      <c r="E8" s="101">
        <v>1.0117</v>
      </c>
      <c r="F8" s="101">
        <v>0.57930000000000004</v>
      </c>
      <c r="G8" s="101">
        <v>1.429</v>
      </c>
      <c r="H8" s="101">
        <v>2.2803</v>
      </c>
      <c r="I8" s="101">
        <v>0</v>
      </c>
      <c r="J8" s="101">
        <v>0</v>
      </c>
    </row>
    <row r="9" spans="1:10" x14ac:dyDescent="0.25">
      <c r="A9" s="54" t="s">
        <v>38</v>
      </c>
      <c r="B9" s="97">
        <v>1.2136220547893086</v>
      </c>
      <c r="C9" s="98" t="e">
        <v>#DIV/0!</v>
      </c>
      <c r="D9" s="97">
        <v>1.0188844613708388</v>
      </c>
      <c r="E9" s="97">
        <v>1.7439541784004278</v>
      </c>
      <c r="F9" s="97">
        <v>0.41220087196553301</v>
      </c>
      <c r="G9" s="97">
        <v>1.2020917541437204</v>
      </c>
      <c r="H9" s="97">
        <v>0.37913924865682175</v>
      </c>
      <c r="I9" s="97" t="e">
        <v>#DIV/0!</v>
      </c>
      <c r="J9" s="97" t="e">
        <v>#DIV/0!</v>
      </c>
    </row>
    <row r="10" spans="1:10" ht="21.6" customHeight="1" x14ac:dyDescent="0.25">
      <c r="A10" s="54" t="s">
        <v>39</v>
      </c>
      <c r="B10" s="101">
        <v>7.6200000000000004E-2</v>
      </c>
      <c r="C10" s="98">
        <v>9.5142857142857126E-2</v>
      </c>
      <c r="D10" s="101">
        <v>0.1137</v>
      </c>
      <c r="E10" s="101">
        <v>6.5600000000000006E-2</v>
      </c>
      <c r="F10" s="101">
        <v>0.1716</v>
      </c>
      <c r="G10" s="101">
        <v>4.4600000000000001E-2</v>
      </c>
      <c r="H10" s="101">
        <v>0.27050000000000002</v>
      </c>
      <c r="I10" s="101">
        <v>0</v>
      </c>
      <c r="J10" s="101">
        <v>0</v>
      </c>
    </row>
    <row r="11" spans="1:10" x14ac:dyDescent="0.25">
      <c r="A11" s="54" t="s">
        <v>40</v>
      </c>
      <c r="B11" s="101">
        <v>367.99957717580003</v>
      </c>
      <c r="C11" s="98">
        <v>434.02604458734288</v>
      </c>
      <c r="D11" s="101">
        <v>1625.9643069889999</v>
      </c>
      <c r="E11" s="101">
        <v>740.85713073490001</v>
      </c>
      <c r="F11" s="101">
        <v>139.9882737712</v>
      </c>
      <c r="G11" s="101">
        <v>275.34010238050001</v>
      </c>
      <c r="H11" s="101">
        <v>256.03249823580001</v>
      </c>
      <c r="I11" s="101">
        <v>0</v>
      </c>
      <c r="J11" s="101">
        <v>0</v>
      </c>
    </row>
    <row r="12" spans="1:10" s="7" customFormat="1" x14ac:dyDescent="0.25">
      <c r="A12" s="9" t="s">
        <v>41</v>
      </c>
      <c r="B12" s="45">
        <v>1.0966</v>
      </c>
      <c r="C12" s="98">
        <v>0.81540000000000001</v>
      </c>
      <c r="D12" s="45">
        <v>1.0345</v>
      </c>
      <c r="E12" s="45">
        <v>1.1339999999999999</v>
      </c>
      <c r="F12" s="45">
        <v>0.92019999999999991</v>
      </c>
      <c r="G12" s="45">
        <v>1.4928999999999999</v>
      </c>
      <c r="H12" s="45">
        <v>1.1262000000000001</v>
      </c>
      <c r="I12" s="45">
        <v>0</v>
      </c>
      <c r="J12" s="45">
        <v>0</v>
      </c>
    </row>
    <row r="13" spans="1:10" s="7" customFormat="1" x14ac:dyDescent="0.25">
      <c r="A13" s="9" t="s">
        <v>42</v>
      </c>
      <c r="B13" s="45">
        <v>5.1257000000000004E-2</v>
      </c>
      <c r="C13" s="98">
        <v>4.0395714285714278E-2</v>
      </c>
      <c r="D13" s="45">
        <v>2.0310999999999999E-2</v>
      </c>
      <c r="E13" s="45">
        <v>5.6714000000000001E-2</v>
      </c>
      <c r="F13" s="45">
        <v>0.150225</v>
      </c>
      <c r="G13" s="45">
        <v>3.4508000000000004E-2</v>
      </c>
      <c r="H13" s="45">
        <v>2.1011999999999999E-2</v>
      </c>
      <c r="I13" s="45">
        <v>0</v>
      </c>
      <c r="J13" s="45">
        <v>0</v>
      </c>
    </row>
    <row r="14" spans="1:10" s="7" customFormat="1" x14ac:dyDescent="0.25">
      <c r="A14" s="9" t="s">
        <v>43</v>
      </c>
      <c r="B14" s="102">
        <v>8.688794335499999</v>
      </c>
      <c r="C14" s="98">
        <v>9.9164672808142846</v>
      </c>
      <c r="D14" s="102">
        <v>26.460173315799999</v>
      </c>
      <c r="E14" s="102">
        <v>11.0513383725</v>
      </c>
      <c r="F14" s="102">
        <v>14.8902796924</v>
      </c>
      <c r="G14" s="102">
        <v>3.5875375516000001</v>
      </c>
      <c r="H14" s="102">
        <v>13.425942033399998</v>
      </c>
      <c r="I14" s="102">
        <v>0</v>
      </c>
      <c r="J14" s="102">
        <v>0</v>
      </c>
    </row>
    <row r="15" spans="1:10" x14ac:dyDescent="0.25">
      <c r="A15" s="54" t="s">
        <v>45</v>
      </c>
      <c r="B15" s="44">
        <v>9.5431000000000002E-2</v>
      </c>
      <c r="C15" s="98">
        <v>6.7839285714285699E-2</v>
      </c>
      <c r="D15" s="44">
        <v>0.10971299999999999</v>
      </c>
      <c r="E15" s="44">
        <v>9.3589000000000006E-2</v>
      </c>
      <c r="F15" s="44">
        <v>7.4916999999999997E-2</v>
      </c>
      <c r="G15" s="44">
        <v>6.2328999999999996E-2</v>
      </c>
      <c r="H15" s="44">
        <v>0.134327</v>
      </c>
      <c r="I15" s="44">
        <v>0</v>
      </c>
      <c r="J15" s="44">
        <v>0</v>
      </c>
    </row>
    <row r="16" spans="1:10" s="7" customFormat="1" ht="25.8" customHeight="1" x14ac:dyDescent="0.25">
      <c r="A16" s="9" t="s">
        <v>46</v>
      </c>
      <c r="B16" s="102">
        <v>10.648913823300001</v>
      </c>
      <c r="C16" s="98">
        <v>16.730166982142858</v>
      </c>
      <c r="D16" s="102">
        <v>18.714418382799998</v>
      </c>
      <c r="E16" s="102">
        <v>41.754861956199996</v>
      </c>
      <c r="F16" s="102">
        <v>0.9694753264</v>
      </c>
      <c r="G16" s="102">
        <v>5.2168191092000002</v>
      </c>
      <c r="H16" s="102">
        <v>50.455594100399999</v>
      </c>
      <c r="I16" s="102">
        <v>0</v>
      </c>
      <c r="J16" s="102">
        <v>0</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181</v>
      </c>
      <c r="B1" s="124"/>
      <c r="C1" s="124"/>
      <c r="D1" s="124"/>
      <c r="E1" s="124"/>
      <c r="F1" s="124"/>
    </row>
    <row r="2" spans="1:6" x14ac:dyDescent="0.25">
      <c r="A2" s="51" t="s">
        <v>182</v>
      </c>
      <c r="B2" s="50" t="s">
        <v>183</v>
      </c>
      <c r="C2" s="50" t="s">
        <v>184</v>
      </c>
      <c r="D2" s="50" t="s">
        <v>185</v>
      </c>
      <c r="E2" s="50" t="s">
        <v>163</v>
      </c>
      <c r="F2" s="50" t="s">
        <v>186</v>
      </c>
    </row>
    <row r="3" spans="1:6" ht="48" customHeight="1" x14ac:dyDescent="0.25">
      <c r="A3" s="104">
        <v>43252</v>
      </c>
      <c r="B3" s="52" t="s">
        <v>187</v>
      </c>
      <c r="C3" s="105" t="s">
        <v>188</v>
      </c>
      <c r="D3" s="105"/>
      <c r="E3" s="52" t="s">
        <v>166</v>
      </c>
      <c r="F3" s="105" t="s">
        <v>189</v>
      </c>
    </row>
    <row r="4" spans="1:6" ht="49.5" customHeight="1" x14ac:dyDescent="0.25">
      <c r="A4" s="104">
        <v>43241</v>
      </c>
      <c r="B4" s="52" t="s">
        <v>190</v>
      </c>
      <c r="C4" s="105" t="s">
        <v>191</v>
      </c>
      <c r="D4" s="105"/>
      <c r="E4" s="52" t="s">
        <v>175</v>
      </c>
      <c r="F4" s="105" t="s">
        <v>192</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193</v>
      </c>
      <c r="B20" s="143"/>
      <c r="C20" s="143"/>
      <c r="D20" s="143"/>
      <c r="E20" s="143"/>
      <c r="F20" s="143"/>
    </row>
    <row r="21" spans="1:6" x14ac:dyDescent="0.25">
      <c r="A21" s="84" t="s">
        <v>182</v>
      </c>
      <c r="B21" s="84" t="s">
        <v>183</v>
      </c>
      <c r="C21" s="84" t="s">
        <v>194</v>
      </c>
      <c r="D21" s="84" t="s">
        <v>195</v>
      </c>
      <c r="E21" s="84" t="s">
        <v>163</v>
      </c>
      <c r="F21" s="84" t="s">
        <v>186</v>
      </c>
    </row>
    <row r="22" spans="1:6" x14ac:dyDescent="0.25">
      <c r="A22" s="107">
        <v>43403</v>
      </c>
      <c r="B22" s="58" t="s">
        <v>196</v>
      </c>
      <c r="C22" s="108" t="s">
        <v>197</v>
      </c>
      <c r="D22" s="108"/>
      <c r="E22" s="58" t="s">
        <v>198</v>
      </c>
      <c r="F22" s="108" t="s">
        <v>199</v>
      </c>
    </row>
    <row r="23" spans="1:6" x14ac:dyDescent="0.25">
      <c r="A23" s="107">
        <v>43276</v>
      </c>
      <c r="B23" s="58" t="s">
        <v>200</v>
      </c>
      <c r="C23" s="108" t="s">
        <v>201</v>
      </c>
      <c r="D23" s="108"/>
      <c r="E23" s="58" t="s">
        <v>202</v>
      </c>
      <c r="F23" s="108" t="s">
        <v>203</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204</v>
      </c>
      <c r="B1" s="124"/>
      <c r="C1" s="124"/>
      <c r="D1" s="124"/>
      <c r="E1" s="124"/>
      <c r="F1" s="124"/>
      <c r="G1" s="124"/>
      <c r="H1" s="124"/>
      <c r="I1" s="124"/>
      <c r="J1" s="124"/>
      <c r="K1" s="124"/>
      <c r="L1" s="124"/>
      <c r="M1" s="124"/>
      <c r="N1" s="124"/>
    </row>
    <row r="2" spans="1:18" s="1" customFormat="1" ht="25.5" customHeight="1" x14ac:dyDescent="0.25">
      <c r="A2" s="55" t="s">
        <v>205</v>
      </c>
      <c r="B2" s="55" t="s">
        <v>206</v>
      </c>
      <c r="C2" s="55" t="s">
        <v>207</v>
      </c>
      <c r="D2" s="55" t="s">
        <v>208</v>
      </c>
      <c r="E2" s="55" t="s">
        <v>209</v>
      </c>
      <c r="F2" s="55" t="s">
        <v>210</v>
      </c>
      <c r="G2" s="55" t="s">
        <v>211</v>
      </c>
      <c r="H2" s="55" t="s">
        <v>16</v>
      </c>
      <c r="I2" s="55" t="s">
        <v>212</v>
      </c>
      <c r="J2" s="55" t="s">
        <v>213</v>
      </c>
      <c r="K2" s="55" t="s">
        <v>214</v>
      </c>
      <c r="L2" s="55" t="s">
        <v>215</v>
      </c>
      <c r="M2" s="55" t="s">
        <v>19</v>
      </c>
      <c r="N2" s="55" t="s">
        <v>216</v>
      </c>
      <c r="O2" s="3"/>
      <c r="P2" s="110" t="str">
        <f ca="1">Q2</f>
        <v>2019-04-11</v>
      </c>
      <c r="Q2" s="1" t="str">
        <f ca="1">[1]!td(R2-1)</f>
        <v>2019-04-11</v>
      </c>
      <c r="R2" s="3">
        <f ca="1">TODAY()</f>
        <v>43567</v>
      </c>
    </row>
    <row r="3" spans="1:18" ht="15.75" customHeight="1" x14ac:dyDescent="0.25">
      <c r="A3" s="111" t="str">
        <f>[1]!b_info_name(L3)</f>
        <v>19苏汇鸿SCP001</v>
      </c>
      <c r="B3" s="2" t="str">
        <f>[1]!b_issue_firstissue(L3)</f>
        <v>2019-04-15</v>
      </c>
      <c r="C3" s="111">
        <f>[1]!b_info_term(L3)</f>
        <v>0.73970000000000002</v>
      </c>
      <c r="D3" s="112" t="str">
        <f>[1]!issuerrating(L3)</f>
        <v>AA+</v>
      </c>
      <c r="E3" s="112" t="str">
        <f>[1]!b_info_creditrating(L3)</f>
        <v>-</v>
      </c>
      <c r="F3" s="111" t="str">
        <f>[1]!b_rate_creditratingagency(L3)</f>
        <v>中诚信国际信用评级有限责任公司</v>
      </c>
      <c r="G3" s="113">
        <f>[1]!b_agency_guarantor(L3)</f>
        <v>0</v>
      </c>
      <c r="H3" s="114" t="s">
        <v>217</v>
      </c>
      <c r="I3" s="66"/>
      <c r="J3" s="115" t="s">
        <v>217</v>
      </c>
      <c r="K3" s="116"/>
      <c r="L3" s="41" t="str">
        <f>公式页!A2</f>
        <v>d19041219.IB</v>
      </c>
      <c r="M3" s="114" t="s">
        <v>217</v>
      </c>
      <c r="N3" s="111" t="str">
        <f>[1]!b_agency_leadunderwriter(L3)</f>
        <v>中国民生银行股份有限公司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218</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219</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205</v>
      </c>
      <c r="B13" s="55" t="s">
        <v>206</v>
      </c>
      <c r="C13" s="55" t="s">
        <v>207</v>
      </c>
      <c r="D13" s="55" t="s">
        <v>208</v>
      </c>
      <c r="E13" s="55" t="s">
        <v>209</v>
      </c>
      <c r="F13" s="55" t="s">
        <v>210</v>
      </c>
      <c r="G13" s="55" t="s">
        <v>211</v>
      </c>
      <c r="H13" s="55" t="s">
        <v>16</v>
      </c>
      <c r="I13" s="55" t="s">
        <v>212</v>
      </c>
      <c r="J13" s="55" t="s">
        <v>213</v>
      </c>
      <c r="K13" s="55" t="s">
        <v>214</v>
      </c>
      <c r="L13" s="55" t="s">
        <v>215</v>
      </c>
      <c r="M13" s="55" t="s">
        <v>19</v>
      </c>
      <c r="N13" s="55" t="s">
        <v>216</v>
      </c>
      <c r="P13" s="109" t="str">
        <f t="shared" ca="1" si="0"/>
        <v>2019-04-11</v>
      </c>
    </row>
    <row r="14" spans="1:18" ht="15.75" customHeight="1" x14ac:dyDescent="0.25">
      <c r="A14" s="111" t="str">
        <f>[1]!b_info_name(L14)</f>
        <v>19苏汇鸿SCP001</v>
      </c>
      <c r="B14" s="2" t="str">
        <f>[1]!b_issue_firstissue(L14)</f>
        <v>2019-04-15</v>
      </c>
      <c r="C14" s="111">
        <f>[1]!b_info_term(L14)</f>
        <v>0.73970000000000002</v>
      </c>
      <c r="D14" s="112" t="str">
        <f>[1]!issuerrating(L14)</f>
        <v>AA+</v>
      </c>
      <c r="E14" s="112" t="str">
        <f>[1]!b_info_creditrating(L14)</f>
        <v>-</v>
      </c>
      <c r="F14" s="111" t="str">
        <f>[1]!b_rate_creditratingagency(L14)</f>
        <v>中诚信国际信用评级有限责任公司</v>
      </c>
      <c r="G14" s="113">
        <f>[1]!b_agency_guarantor(L14)</f>
        <v>0</v>
      </c>
      <c r="H14" s="114" t="s">
        <v>217</v>
      </c>
      <c r="I14" s="66"/>
      <c r="J14" s="115" t="s">
        <v>217</v>
      </c>
      <c r="K14" s="116">
        <f>K3</f>
        <v>0</v>
      </c>
      <c r="L14" s="42" t="str">
        <f>L3</f>
        <v>d19041219.IB</v>
      </c>
      <c r="M14" s="114" t="s">
        <v>217</v>
      </c>
      <c r="N14" s="111" t="str">
        <f>[1]!b_agency_leadunderwriter(L14)</f>
        <v>中国民生银行股份有限公司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220</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221</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222</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223</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224</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225</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226</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227</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228</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2019-04-12T08:25:21Z</dcterms:modified>
</cp:coreProperties>
</file>