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5新券信评\"/>
    </mc:Choice>
  </mc:AlternateContent>
  <xr:revisionPtr revIDLastSave="0" documentId="13_ncr:1_{802E2D2C-3677-4C6D-A01B-52A9DAF9230D}"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M21" i="6"/>
  <c r="G20" i="6"/>
  <c r="D19" i="6"/>
  <c r="A18" i="6"/>
  <c r="N16" i="6"/>
  <c r="H15" i="6"/>
  <c r="G14" i="6"/>
  <c r="H5" i="6"/>
  <c r="E4" i="6"/>
  <c r="G3" i="6"/>
  <c r="O23" i="6"/>
  <c r="F21" i="6"/>
  <c r="C20" i="6"/>
  <c r="M17" i="6"/>
  <c r="G16" i="6"/>
  <c r="D15" i="6"/>
  <c r="C14" i="6"/>
  <c r="H9" i="6"/>
  <c r="F7" i="6"/>
  <c r="G6" i="6"/>
  <c r="N5" i="6"/>
  <c r="E5" i="6"/>
  <c r="B4" i="6"/>
  <c r="D3" i="6"/>
  <c r="H23" i="6"/>
  <c r="B21" i="6"/>
  <c r="C16" i="6"/>
  <c r="D6" i="6"/>
  <c r="D5" i="6"/>
  <c r="F4" i="6"/>
  <c r="Q2"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3" i="6"/>
  <c r="N20" i="6"/>
  <c r="E18" i="6"/>
  <c r="O15" i="6"/>
  <c r="N9" i="6"/>
  <c r="B7" i="6"/>
  <c r="C6" i="6"/>
  <c r="A5" i="6"/>
  <c r="A4"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22" i="6"/>
  <c r="F17" i="6"/>
  <c r="A8" i="6"/>
  <c r="M139" i="1"/>
  <c r="O135" i="1"/>
  <c r="S132" i="1"/>
  <c r="S130" i="1"/>
  <c r="O127" i="1"/>
  <c r="F113" i="1"/>
  <c r="D110" i="1"/>
  <c r="M103" i="1"/>
  <c r="B102" i="1"/>
  <c r="J101" i="1"/>
  <c r="Q100" i="1"/>
  <c r="F100" i="1"/>
  <c r="O99" i="1"/>
  <c r="D99" i="1"/>
  <c r="M98" i="1"/>
  <c r="B98" i="1"/>
  <c r="J97" i="1"/>
  <c r="Q96" i="1"/>
  <c r="F96" i="1"/>
  <c r="D95" i="1"/>
  <c r="B94" i="1"/>
  <c r="F92" i="1"/>
  <c r="D91" i="1"/>
  <c r="B90" i="1"/>
  <c r="F88" i="1"/>
  <c r="D87" i="1"/>
  <c r="B86" i="1"/>
  <c r="F84" i="1"/>
  <c r="D83" i="1"/>
  <c r="B82" i="1"/>
  <c r="F80" i="1"/>
  <c r="D79" i="1"/>
  <c r="B78" i="1"/>
  <c r="F76" i="1"/>
  <c r="D75" i="1"/>
  <c r="B74" i="1"/>
  <c r="F72" i="1"/>
  <c r="D71" i="1"/>
  <c r="B70" i="1"/>
  <c r="F68" i="1"/>
  <c r="D67" i="1"/>
  <c r="B66" i="1"/>
  <c r="F64" i="1"/>
  <c r="D63" i="1"/>
  <c r="B62" i="1"/>
  <c r="F60" i="1"/>
  <c r="D59" i="1"/>
  <c r="B58" i="1"/>
  <c r="F56" i="1"/>
  <c r="D55" i="1"/>
  <c r="B54" i="1"/>
  <c r="F52" i="1"/>
  <c r="D51" i="1"/>
  <c r="B50" i="1"/>
  <c r="F48" i="1"/>
  <c r="D47" i="1"/>
  <c r="B46" i="1"/>
  <c r="F44" i="1"/>
  <c r="E43" i="1"/>
  <c r="F42" i="1"/>
  <c r="G41" i="1"/>
  <c r="G40" i="1"/>
  <c r="B40" i="1"/>
  <c r="C39" i="1"/>
  <c r="C38" i="1"/>
  <c r="D37" i="1"/>
  <c r="E36" i="1"/>
  <c r="E35" i="1"/>
  <c r="F34" i="1"/>
  <c r="G33" i="1"/>
  <c r="G32" i="1"/>
  <c r="B32" i="1"/>
  <c r="C31" i="1"/>
  <c r="C30" i="1"/>
  <c r="O29" i="1"/>
  <c r="G29" i="1"/>
  <c r="R28" i="1"/>
  <c r="M28" i="1"/>
  <c r="E28" i="1"/>
  <c r="P27" i="1"/>
  <c r="J27" i="1"/>
  <c r="C27" i="1"/>
  <c r="N26" i="1"/>
  <c r="F26" i="1"/>
  <c r="R25" i="1"/>
  <c r="L25" i="1"/>
  <c r="D25" i="1"/>
  <c r="P24" i="1"/>
  <c r="G24" i="1"/>
  <c r="B24" i="1"/>
  <c r="N23" i="1"/>
  <c r="E23" i="1"/>
  <c r="D22" i="1"/>
  <c r="Q21" i="1"/>
  <c r="M21" i="1"/>
  <c r="F21" i="1"/>
  <c r="B21" i="1"/>
  <c r="O20" i="1"/>
  <c r="J20" i="1"/>
  <c r="D20" i="1"/>
  <c r="Q19" i="1"/>
  <c r="M19" i="1"/>
  <c r="F19" i="1"/>
  <c r="B19" i="1"/>
  <c r="D18" i="1"/>
  <c r="Q17" i="1"/>
  <c r="M17" i="1"/>
  <c r="F17" i="1"/>
  <c r="B17" i="1"/>
  <c r="O16" i="1"/>
  <c r="E16" i="1"/>
  <c r="R15" i="1"/>
  <c r="N15" i="1"/>
  <c r="G15" i="1"/>
  <c r="C15" i="1"/>
  <c r="E14" i="1"/>
  <c r="F11" i="1"/>
  <c r="F9" i="1"/>
  <c r="F7" i="1"/>
  <c r="B5" i="1"/>
  <c r="F15" i="1"/>
  <c r="D14" i="1"/>
  <c r="B11" i="1"/>
  <c r="B9" i="1"/>
  <c r="E4" i="1"/>
  <c r="O19" i="6"/>
  <c r="M6" i="6"/>
  <c r="M141" i="1"/>
  <c r="O131" i="1"/>
  <c r="M123" i="1"/>
  <c r="D112" i="1"/>
  <c r="F102" i="1"/>
  <c r="O101" i="1"/>
  <c r="M100" i="1"/>
  <c r="J99" i="1"/>
  <c r="F98" i="1"/>
  <c r="O97" i="1"/>
  <c r="M96" i="1"/>
  <c r="D93" i="1"/>
  <c r="F90" i="1"/>
  <c r="B88" i="1"/>
  <c r="D85" i="1"/>
  <c r="B84" i="1"/>
  <c r="D81" i="1"/>
  <c r="F78" i="1"/>
  <c r="B76" i="1"/>
  <c r="F74" i="1"/>
  <c r="B72" i="1"/>
  <c r="D69" i="1"/>
  <c r="F66" i="1"/>
  <c r="B64" i="1"/>
  <c r="D61" i="1"/>
  <c r="B60" i="1"/>
  <c r="D57" i="1"/>
  <c r="B56" i="1"/>
  <c r="D53" i="1"/>
  <c r="F50" i="1"/>
  <c r="D49" i="1"/>
  <c r="F46" i="1"/>
  <c r="B44" i="1"/>
  <c r="C43" i="1"/>
  <c r="D41" i="1"/>
  <c r="E39" i="1"/>
  <c r="F38" i="1"/>
  <c r="G36" i="1"/>
  <c r="C35" i="1"/>
  <c r="C34" i="1"/>
  <c r="E32" i="1"/>
  <c r="F30" i="1"/>
  <c r="R29" i="1"/>
  <c r="D29" i="1"/>
  <c r="P28" i="1"/>
  <c r="B28" i="1"/>
  <c r="N27" i="1"/>
  <c r="Q26" i="1"/>
  <c r="C26" i="1"/>
  <c r="O25" i="1"/>
  <c r="R24" i="1"/>
  <c r="E24" i="1"/>
  <c r="P23" i="1"/>
  <c r="C23" i="1"/>
  <c r="F22" i="1"/>
  <c r="O21" i="1"/>
  <c r="J21" i="1"/>
  <c r="Q20" i="1"/>
  <c r="F20" i="1"/>
  <c r="O19" i="1"/>
  <c r="D19" i="1"/>
  <c r="B18" i="1"/>
  <c r="J17" i="1"/>
  <c r="Q16" i="1"/>
  <c r="C16" i="1"/>
  <c r="L15" i="1"/>
  <c r="G14" i="1"/>
  <c r="C14" i="1"/>
  <c r="F10" i="1"/>
  <c r="F8" i="1"/>
  <c r="B6" i="1"/>
  <c r="B4" i="1"/>
  <c r="H19" i="6"/>
  <c r="E8" i="6"/>
  <c r="S139" i="1"/>
  <c r="M133" i="1"/>
  <c r="S127" i="1"/>
  <c r="M118" i="1"/>
  <c r="M111" i="1"/>
  <c r="F110" i="1"/>
  <c r="E102" i="1"/>
  <c r="C101" i="1"/>
  <c r="R99" i="1"/>
  <c r="A22" i="6"/>
  <c r="B17" i="6"/>
  <c r="D9" i="6"/>
  <c r="C3" i="6"/>
  <c r="S141" i="1"/>
  <c r="S137" i="1"/>
  <c r="O134" i="1"/>
  <c r="S131" i="1"/>
  <c r="O128" i="1"/>
  <c r="M121" i="1"/>
  <c r="M119" i="1"/>
  <c r="M117" i="1"/>
  <c r="F112" i="1"/>
  <c r="M109" i="1"/>
  <c r="L103" i="1"/>
  <c r="R101" i="1"/>
  <c r="G101" i="1"/>
  <c r="P100" i="1"/>
  <c r="E100" i="1"/>
  <c r="N99" i="1"/>
  <c r="C99" i="1"/>
  <c r="L98" i="1"/>
  <c r="R97" i="1"/>
  <c r="G97" i="1"/>
  <c r="P96" i="1"/>
  <c r="E96" i="1"/>
  <c r="C95" i="1"/>
  <c r="G93" i="1"/>
  <c r="E92" i="1"/>
  <c r="C91" i="1"/>
  <c r="G89" i="1"/>
  <c r="E88" i="1"/>
  <c r="C87" i="1"/>
  <c r="G85" i="1"/>
  <c r="E84" i="1"/>
  <c r="C83" i="1"/>
  <c r="G81" i="1"/>
  <c r="E80" i="1"/>
  <c r="C79" i="1"/>
  <c r="G77" i="1"/>
  <c r="E76" i="1"/>
  <c r="C75" i="1"/>
  <c r="G73" i="1"/>
  <c r="E72" i="1"/>
  <c r="C71" i="1"/>
  <c r="G69" i="1"/>
  <c r="E68" i="1"/>
  <c r="C67" i="1"/>
  <c r="G65" i="1"/>
  <c r="E64" i="1"/>
  <c r="C63" i="1"/>
  <c r="G61" i="1"/>
  <c r="E60" i="1"/>
  <c r="C59" i="1"/>
  <c r="G57" i="1"/>
  <c r="E56" i="1"/>
  <c r="C55" i="1"/>
  <c r="G53" i="1"/>
  <c r="E52" i="1"/>
  <c r="C51" i="1"/>
  <c r="G49" i="1"/>
  <c r="E48" i="1"/>
  <c r="C47" i="1"/>
  <c r="G45" i="1"/>
  <c r="E44" i="1"/>
  <c r="D43" i="1"/>
  <c r="E42" i="1"/>
  <c r="E41" i="1"/>
  <c r="F40" i="1"/>
  <c r="G39" i="1"/>
  <c r="G38" i="1"/>
  <c r="B38" i="1"/>
  <c r="C37" i="1"/>
  <c r="C36" i="1"/>
  <c r="D35" i="1"/>
  <c r="E34" i="1"/>
  <c r="E33" i="1"/>
  <c r="F32" i="1"/>
  <c r="G31" i="1"/>
  <c r="G30" i="1"/>
  <c r="B30" i="1"/>
  <c r="N29" i="1"/>
  <c r="E29" i="1"/>
  <c r="Q28" i="1"/>
  <c r="L28" i="1"/>
  <c r="C28" i="1"/>
  <c r="O27" i="1"/>
  <c r="G27" i="1"/>
  <c r="R26" i="1"/>
  <c r="M26" i="1"/>
  <c r="E26" i="1"/>
  <c r="P25" i="1"/>
  <c r="J25" i="1"/>
  <c r="C25" i="1"/>
  <c r="N24" i="1"/>
  <c r="F24" i="1"/>
  <c r="R23" i="1"/>
  <c r="L23" i="1"/>
  <c r="D23" i="1"/>
  <c r="G22" i="1"/>
  <c r="C22" i="1"/>
  <c r="P21" i="1"/>
  <c r="L21" i="1"/>
  <c r="E21" i="1"/>
  <c r="R20" i="1"/>
  <c r="N20" i="1"/>
  <c r="G20" i="1"/>
  <c r="C20" i="1"/>
  <c r="P19" i="1"/>
  <c r="L19" i="1"/>
  <c r="E19" i="1"/>
  <c r="G18" i="1"/>
  <c r="C18" i="1"/>
  <c r="P17" i="1"/>
  <c r="L17" i="1"/>
  <c r="E17" i="1"/>
  <c r="R16" i="1"/>
  <c r="J16" i="1"/>
  <c r="D16" i="1"/>
  <c r="Q15" i="1"/>
  <c r="M15" i="1"/>
  <c r="B15" i="1"/>
  <c r="B7" i="1"/>
  <c r="M137" i="1"/>
  <c r="M134" i="1"/>
  <c r="M128" i="1"/>
  <c r="S110" i="1"/>
  <c r="Q103" i="1"/>
  <c r="D101" i="1"/>
  <c r="B100" i="1"/>
  <c r="Q98" i="1"/>
  <c r="D97" i="1"/>
  <c r="B96" i="1"/>
  <c r="F94" i="1"/>
  <c r="B92" i="1"/>
  <c r="D89" i="1"/>
  <c r="F86" i="1"/>
  <c r="F82" i="1"/>
  <c r="B80" i="1"/>
  <c r="D77" i="1"/>
  <c r="D73" i="1"/>
  <c r="F70" i="1"/>
  <c r="B68" i="1"/>
  <c r="D65" i="1"/>
  <c r="F62" i="1"/>
  <c r="F58" i="1"/>
  <c r="F54" i="1"/>
  <c r="B52" i="1"/>
  <c r="B48" i="1"/>
  <c r="D45" i="1"/>
  <c r="C42" i="1"/>
  <c r="E40" i="1"/>
  <c r="G37" i="1"/>
  <c r="B36" i="1"/>
  <c r="D33" i="1"/>
  <c r="E31" i="1"/>
  <c r="L29" i="1"/>
  <c r="G28" i="1"/>
  <c r="E27" i="1"/>
  <c r="L26" i="1"/>
  <c r="G25" i="1"/>
  <c r="M24" i="1"/>
  <c r="J23" i="1"/>
  <c r="B22" i="1"/>
  <c r="D21" i="1"/>
  <c r="M20" i="1"/>
  <c r="B20" i="1"/>
  <c r="J19" i="1"/>
  <c r="F18" i="1"/>
  <c r="O17" i="1"/>
  <c r="D17" i="1"/>
  <c r="G16" i="1"/>
  <c r="P15" i="1"/>
  <c r="E15" i="1"/>
  <c r="S135" i="1"/>
  <c r="M129" i="1"/>
  <c r="M120" i="1"/>
  <c r="M116" i="1"/>
  <c r="P103" i="1"/>
  <c r="N101" i="1"/>
  <c r="L100" i="1"/>
  <c r="G99" i="1"/>
  <c r="C97" i="1"/>
  <c r="C93" i="1"/>
  <c r="G87" i="1"/>
  <c r="E82" i="1"/>
  <c r="C77" i="1"/>
  <c r="G71" i="1"/>
  <c r="E66" i="1"/>
  <c r="C61" i="1"/>
  <c r="G55" i="1"/>
  <c r="E50" i="1"/>
  <c r="C45" i="1"/>
  <c r="C41" i="1"/>
  <c r="E37" i="1"/>
  <c r="B34" i="1"/>
  <c r="E30" i="1"/>
  <c r="N28" i="1"/>
  <c r="D27" i="1"/>
  <c r="N25" i="1"/>
  <c r="C24" i="1"/>
  <c r="G21" i="1"/>
  <c r="E20" i="1"/>
  <c r="C19" i="1"/>
  <c r="G17" i="1"/>
  <c r="B16" i="1"/>
  <c r="F14" i="1"/>
  <c r="E5" i="1"/>
  <c r="E98" i="1"/>
  <c r="G95" i="1"/>
  <c r="C85" i="1"/>
  <c r="E74" i="1"/>
  <c r="E58" i="1"/>
  <c r="G47" i="1"/>
  <c r="G35" i="1"/>
  <c r="R27" i="1"/>
  <c r="Q24" i="1"/>
  <c r="P20" i="1"/>
  <c r="R17" i="1"/>
  <c r="J15" i="1"/>
  <c r="E94" i="1"/>
  <c r="G83" i="1"/>
  <c r="C73" i="1"/>
  <c r="C57" i="1"/>
  <c r="E46" i="1"/>
  <c r="E38" i="1"/>
  <c r="C29" i="1"/>
  <c r="B26" i="1"/>
  <c r="L20" i="1"/>
  <c r="N17" i="1"/>
  <c r="B8" i="1"/>
  <c r="P98" i="1"/>
  <c r="L96" i="1"/>
  <c r="G91" i="1"/>
  <c r="E86" i="1"/>
  <c r="C81" i="1"/>
  <c r="G75" i="1"/>
  <c r="E70" i="1"/>
  <c r="C65" i="1"/>
  <c r="G59" i="1"/>
  <c r="E54" i="1"/>
  <c r="C49" i="1"/>
  <c r="G43" i="1"/>
  <c r="C40" i="1"/>
  <c r="F36" i="1"/>
  <c r="C33" i="1"/>
  <c r="P29" i="1"/>
  <c r="F28" i="1"/>
  <c r="P26" i="1"/>
  <c r="E25" i="1"/>
  <c r="O23" i="1"/>
  <c r="E22" i="1"/>
  <c r="C21" i="1"/>
  <c r="R19" i="1"/>
  <c r="E18" i="1"/>
  <c r="C17" i="1"/>
  <c r="O15" i="1"/>
  <c r="B14" i="1"/>
  <c r="E90" i="1"/>
  <c r="G79" i="1"/>
  <c r="C69" i="1"/>
  <c r="G63" i="1"/>
  <c r="C53" i="1"/>
  <c r="G42" i="1"/>
  <c r="D39" i="1"/>
  <c r="C32" i="1"/>
  <c r="J29" i="1"/>
  <c r="G26" i="1"/>
  <c r="G23" i="1"/>
  <c r="R21" i="1"/>
  <c r="N19" i="1"/>
  <c r="P16" i="1"/>
  <c r="B10" i="1"/>
  <c r="N97" i="1"/>
  <c r="C89" i="1"/>
  <c r="E78" i="1"/>
  <c r="G67" i="1"/>
  <c r="E62" i="1"/>
  <c r="G51" i="1"/>
  <c r="B42" i="1"/>
  <c r="G34" i="1"/>
  <c r="D31" i="1"/>
  <c r="L27" i="1"/>
  <c r="L24" i="1"/>
  <c r="N21" i="1"/>
  <c r="G19" i="1"/>
  <c r="F16" i="1"/>
  <c r="D15" i="1"/>
  <c r="L22" i="1" l="1"/>
  <c r="B112" i="1"/>
  <c r="B119" i="1"/>
  <c r="H125" i="1"/>
  <c r="H110" i="1"/>
  <c r="B118" i="1"/>
  <c r="B124" i="1"/>
  <c r="B127" i="1"/>
  <c r="P22" i="1"/>
  <c r="B109" i="1"/>
  <c r="D118" i="1"/>
  <c r="H121" i="1"/>
  <c r="D124" i="1"/>
  <c r="H127" i="1"/>
  <c r="H131" i="1"/>
  <c r="B111" i="1"/>
  <c r="H117" i="1"/>
  <c r="B123" i="1"/>
  <c r="H129" i="1"/>
  <c r="M22" i="1"/>
  <c r="D121" i="1"/>
  <c r="B131" i="1"/>
  <c r="Q22" i="1"/>
  <c r="D117" i="1"/>
  <c r="H120" i="1"/>
  <c r="H122" i="1"/>
  <c r="D125" i="1"/>
  <c r="B129" i="1"/>
  <c r="N22" i="1"/>
  <c r="R22" i="1"/>
  <c r="H109" i="1"/>
  <c r="H111" i="1"/>
  <c r="H118" i="1"/>
  <c r="D119" i="1"/>
  <c r="B120" i="1"/>
  <c r="B122" i="1"/>
  <c r="D123" i="1"/>
  <c r="H124" i="1"/>
  <c r="B126" i="1"/>
  <c r="B128" i="1"/>
  <c r="B130" i="1"/>
  <c r="J22" i="1"/>
  <c r="O22" i="1"/>
  <c r="B110" i="1"/>
  <c r="H112" i="1"/>
  <c r="B117" i="1"/>
  <c r="H119" i="1"/>
  <c r="D120" i="1"/>
  <c r="B121" i="1"/>
  <c r="D122" i="1"/>
  <c r="H123" i="1"/>
  <c r="B125" i="1"/>
  <c r="H126" i="1"/>
  <c r="H128" i="1"/>
  <c r="H130" i="1"/>
  <c r="P2" i="6"/>
  <c r="J4" i="6"/>
  <c r="P29" i="6" l="1"/>
  <c r="P25" i="6"/>
  <c r="P21" i="6"/>
  <c r="P17" i="6"/>
  <c r="P11" i="6"/>
  <c r="P7" i="6"/>
  <c r="P3" i="6"/>
  <c r="P28" i="6"/>
  <c r="P24" i="6"/>
  <c r="P20" i="6"/>
  <c r="P16" i="6"/>
  <c r="P10" i="6"/>
  <c r="P6" i="6"/>
  <c r="P27" i="6"/>
  <c r="P23" i="6"/>
  <c r="P19" i="6"/>
  <c r="P15" i="6"/>
  <c r="P13" i="6"/>
  <c r="P9" i="6"/>
  <c r="P26" i="6"/>
  <c r="P22" i="6"/>
  <c r="P5" i="6"/>
  <c r="P4" i="6"/>
  <c r="P18" i="6"/>
  <c r="P12" i="6"/>
  <c r="P8" i="6"/>
  <c r="P14" i="6"/>
  <c r="J8" i="6"/>
  <c r="J17" i="6"/>
  <c r="J21" i="6"/>
  <c r="J20" i="6"/>
  <c r="J9" i="6"/>
  <c r="J22" i="6"/>
  <c r="J15" i="6"/>
  <c r="J7" i="6"/>
  <c r="J23" i="6"/>
  <c r="J5" i="6"/>
  <c r="J18" i="6"/>
  <c r="J6" i="6"/>
  <c r="J16" i="6"/>
  <c r="J19" i="6"/>
</calcChain>
</file>

<file path=xl/sharedStrings.xml><?xml version="1.0" encoding="utf-8"?>
<sst xmlns="http://schemas.openxmlformats.org/spreadsheetml/2006/main" count="1002" uniqueCount="531">
  <si>
    <t>d19041204.IB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</si>
  <si>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</si>
  <si>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</si>
  <si>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</si>
  <si>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</si>
  <si>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</si>
  <si>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</si>
  <si>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</si>
  <si>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</si>
  <si>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</si>
  <si>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</si>
  <si>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</si>
  <si>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</si>
  <si>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</si>
  <si>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</si>
  <si>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</si>
  <si>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</si>
  <si>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</si>
  <si>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</si>
  <si>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</si>
  <si>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</si>
  <si>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</si>
  <si>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</si>
  <si>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041559003.IB</t>
  </si>
  <si>
    <t>主体级别</t>
  </si>
  <si>
    <t>AA+</t>
  </si>
  <si>
    <t>122127.SH</t>
  </si>
  <si>
    <t>*选择性黏贴</t>
  </si>
  <si>
    <t>1282279.IB</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</si>
  <si>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</si>
  <si>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</si>
  <si>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</si>
  <si>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</si>
  <si>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</si>
  <si>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</si>
  <si>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</si>
  <si>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</si>
  <si>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</si>
  <si>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</si>
  <si>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</si>
  <si>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</si>
  <si>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</si>
  <si>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</si>
  <si>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</si>
  <si>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</si>
  <si>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</si>
  <si>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</si>
  <si>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</si>
  <si>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</si>
  <si>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</si>
  <si>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</si>
  <si>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</si>
  <si>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</si>
  <si>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</si>
  <si>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</si>
  <si>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</si>
  <si>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</si>
  <si>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</si>
  <si>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</si>
  <si>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</si>
  <si>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</si>
  <si>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</si>
  <si>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</si>
  <si>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</si>
  <si>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</si>
  <si>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</si>
  <si>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</si>
  <si>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</si>
  <si>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</si>
  <si>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</si>
  <si>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</si>
  <si>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</si>
  <si>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</si>
  <si>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</si>
  <si>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</si>
  <si>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</si>
  <si>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</si>
  <si>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</si>
  <si>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</si>
  <si>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</si>
  <si>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</si>
  <si>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</si>
  <si>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</si>
  <si>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</si>
  <si>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</si>
  <si>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</si>
  <si>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</si>
  <si>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</si>
  <si>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</si>
  <si>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</si>
  <si>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</si>
  <si>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</si>
  <si>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</si>
  <si>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</si>
  <si>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</si>
  <si>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</si>
  <si>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</si>
  <si>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</si>
  <si>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</si>
  <si>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</si>
  <si>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</si>
  <si>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</si>
  <si>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</si>
  <si>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</si>
  <si>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</si>
  <si>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</si>
  <si>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</si>
  <si>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</si>
  <si>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</si>
  <si>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</si>
  <si>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</si>
  <si>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</si>
  <si>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</si>
  <si>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</si>
  <si>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</si>
  <si>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</si>
  <si>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</si>
  <si>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011900735.IB</t>
  </si>
  <si>
    <t>20190322</t>
  </si>
  <si>
    <t>19鲁商SCP003</t>
  </si>
  <si>
    <t>011900670.IB</t>
  </si>
  <si>
    <t>20190318</t>
  </si>
  <si>
    <t>19鲁商SCP002</t>
  </si>
  <si>
    <t>011900529.IB</t>
  </si>
  <si>
    <t>20190306</t>
  </si>
  <si>
    <t>19鲁商SCP001</t>
  </si>
  <si>
    <t>143971.SH</t>
  </si>
  <si>
    <t>20181221</t>
  </si>
  <si>
    <t>18鲁商Y2</t>
  </si>
  <si>
    <t>143970.SH</t>
  </si>
  <si>
    <t>20181217</t>
  </si>
  <si>
    <t>18鲁商Y1</t>
  </si>
  <si>
    <t>011802510.IB</t>
  </si>
  <si>
    <t>18鲁商SCP013</t>
  </si>
  <si>
    <t>041800451.IB</t>
  </si>
  <si>
    <t>20181214</t>
  </si>
  <si>
    <t>18鲁商CP002</t>
  </si>
  <si>
    <t>101801500.IB</t>
  </si>
  <si>
    <t>20181213</t>
  </si>
  <si>
    <t>18鲁商MTN003</t>
  </si>
  <si>
    <t>011802457.IB</t>
  </si>
  <si>
    <t>20181211</t>
  </si>
  <si>
    <t>18鲁商SCP012</t>
  </si>
  <si>
    <t>101801331.IB</t>
  </si>
  <si>
    <t>20181115</t>
  </si>
  <si>
    <t>18鲁商MTN001</t>
  </si>
  <si>
    <t>155017.SH</t>
  </si>
  <si>
    <t>20181114</t>
  </si>
  <si>
    <t>18鲁商02</t>
  </si>
  <si>
    <t>041800399.IB</t>
  </si>
  <si>
    <t>20181102</t>
  </si>
  <si>
    <t>18鲁商CP001</t>
  </si>
  <si>
    <t>011801849.IB</t>
  </si>
  <si>
    <t>20180921</t>
  </si>
  <si>
    <t>18鲁商SCP011</t>
  </si>
  <si>
    <t>011801601.IB</t>
  </si>
  <si>
    <t>20180919</t>
  </si>
  <si>
    <t>18鲁商SCP010</t>
  </si>
  <si>
    <t>011801531.IB</t>
  </si>
  <si>
    <t>20180813</t>
  </si>
  <si>
    <t>18鲁商SCP009</t>
  </si>
  <si>
    <t>011801488.IB</t>
  </si>
  <si>
    <t>20180808</t>
  </si>
  <si>
    <t>18鲁商SCP008</t>
  </si>
  <si>
    <t>143289.SH</t>
  </si>
  <si>
    <t>20180725</t>
  </si>
  <si>
    <t>18鲁商01</t>
  </si>
  <si>
    <t>011801229.IB</t>
  </si>
  <si>
    <t>20180703</t>
  </si>
  <si>
    <t>18鲁商SCP007</t>
  </si>
  <si>
    <t>011800977.IB</t>
  </si>
  <si>
    <t>20180621</t>
  </si>
  <si>
    <t>18鲁商SCP006</t>
  </si>
  <si>
    <t>011800778.IB</t>
  </si>
  <si>
    <t>20180419</t>
  </si>
  <si>
    <t>18鲁商SCP005</t>
  </si>
  <si>
    <t>011800562.IB</t>
  </si>
  <si>
    <t>20180326</t>
  </si>
  <si>
    <t>18鲁商SCP004</t>
  </si>
  <si>
    <t>011800357.IB</t>
  </si>
  <si>
    <t>20180307</t>
  </si>
  <si>
    <t>18鲁商SCP003</t>
  </si>
  <si>
    <t>011800140.IB</t>
  </si>
  <si>
    <t>20180124</t>
  </si>
  <si>
    <t>18鲁商SCP002</t>
  </si>
  <si>
    <t>011800023.IB</t>
  </si>
  <si>
    <t>20180108</t>
  </si>
  <si>
    <t>18鲁商SCP001</t>
  </si>
  <si>
    <t>041760064.IB</t>
  </si>
  <si>
    <t>20171215</t>
  </si>
  <si>
    <t>17鲁商CP003</t>
  </si>
  <si>
    <t>011755074.IB</t>
  </si>
  <si>
    <t>20171205</t>
  </si>
  <si>
    <t>17鲁商SCP013</t>
  </si>
  <si>
    <t>011762101.IB</t>
  </si>
  <si>
    <t>20171123</t>
  </si>
  <si>
    <t>17鲁商SCP012</t>
  </si>
  <si>
    <t>041760058.IB</t>
  </si>
  <si>
    <t>20171107</t>
  </si>
  <si>
    <t>17鲁商CP002</t>
  </si>
  <si>
    <t>011755063.IB</t>
  </si>
  <si>
    <t>20171023</t>
  </si>
  <si>
    <t>17鲁商SCP011</t>
  </si>
  <si>
    <t>101760054.IB</t>
  </si>
  <si>
    <t>20171018</t>
  </si>
  <si>
    <t>17鲁商MTN001</t>
  </si>
  <si>
    <t>011762077.IB</t>
  </si>
  <si>
    <t>20170925</t>
  </si>
  <si>
    <t>17鲁商SCP010</t>
  </si>
  <si>
    <t>041760046.IB</t>
  </si>
  <si>
    <t>20170912</t>
  </si>
  <si>
    <t>17鲁商CP001</t>
  </si>
  <si>
    <t>011751082.IB</t>
  </si>
  <si>
    <t>20170814</t>
  </si>
  <si>
    <t>17鲁商SCP009</t>
  </si>
  <si>
    <t>011754106.IB</t>
  </si>
  <si>
    <t>20170711</t>
  </si>
  <si>
    <t>17鲁商SCP008</t>
  </si>
  <si>
    <t>011766021.IB</t>
  </si>
  <si>
    <t>20170707</t>
  </si>
  <si>
    <t>17鲁商SCP007</t>
  </si>
  <si>
    <t>011760067.IB</t>
  </si>
  <si>
    <t>20170605</t>
  </si>
  <si>
    <t>17鲁商SCP006</t>
  </si>
  <si>
    <t>011762028.IB</t>
  </si>
  <si>
    <t>20170419</t>
  </si>
  <si>
    <t>17鲁商SCP005</t>
  </si>
  <si>
    <t>031759009.IB</t>
  </si>
  <si>
    <t>20170411</t>
  </si>
  <si>
    <t>17鲁商PPN001</t>
  </si>
  <si>
    <t>011760042.IB</t>
  </si>
  <si>
    <t>17鲁商SCP004</t>
  </si>
  <si>
    <t>011752023.IB</t>
  </si>
  <si>
    <t>20170405</t>
  </si>
  <si>
    <t>17鲁商SCP003</t>
  </si>
  <si>
    <t>011755012.IB</t>
  </si>
  <si>
    <t>20170220</t>
  </si>
  <si>
    <t>17鲁商SCP002</t>
  </si>
  <si>
    <t>011754007.IB</t>
  </si>
  <si>
    <t>20170113</t>
  </si>
  <si>
    <t>17鲁商SCP001</t>
  </si>
  <si>
    <t>011698695.IB</t>
  </si>
  <si>
    <t>20161026</t>
  </si>
  <si>
    <t>16鲁商SCP009</t>
  </si>
  <si>
    <t>011698590.IB</t>
  </si>
  <si>
    <t>20161014</t>
  </si>
  <si>
    <t>16鲁商SCP008</t>
  </si>
  <si>
    <t>031668010.IB</t>
  </si>
  <si>
    <t>20160919</t>
  </si>
  <si>
    <t>16鲁商PPN003</t>
  </si>
  <si>
    <t>011698300.IB</t>
  </si>
  <si>
    <t>20160817</t>
  </si>
  <si>
    <t>16鲁商SCP007</t>
  </si>
  <si>
    <t>011698135.IB</t>
  </si>
  <si>
    <t>20160720</t>
  </si>
  <si>
    <t>16鲁商SCP006</t>
  </si>
  <si>
    <t>031660042.IB</t>
  </si>
  <si>
    <t>20160704</t>
  </si>
  <si>
    <t>16鲁商PPN002</t>
  </si>
  <si>
    <t>011699974.IB</t>
  </si>
  <si>
    <t>20160617</t>
  </si>
  <si>
    <t>16鲁商SCP005</t>
  </si>
  <si>
    <t>011699864.IB</t>
  </si>
  <si>
    <t>20160601</t>
  </si>
  <si>
    <t>16鲁商SCP004</t>
  </si>
  <si>
    <t>011699779.IB</t>
  </si>
  <si>
    <t>20160513</t>
  </si>
  <si>
    <t>16鲁商SCP003</t>
  </si>
  <si>
    <t>136389.SH</t>
  </si>
  <si>
    <t>20160419</t>
  </si>
  <si>
    <t>16鲁商02</t>
  </si>
  <si>
    <t>031660027.IB</t>
  </si>
  <si>
    <t>20160414</t>
  </si>
  <si>
    <t>16鲁商PPN001</t>
  </si>
  <si>
    <t>136354.SH</t>
  </si>
  <si>
    <t>20160405</t>
  </si>
  <si>
    <t>16鲁商01</t>
  </si>
  <si>
    <t>135205.SH</t>
  </si>
  <si>
    <t>20160202</t>
  </si>
  <si>
    <t>16鲁商债</t>
  </si>
  <si>
    <t>011699210.IB</t>
  </si>
  <si>
    <t>16鲁商SCP002</t>
  </si>
  <si>
    <t>011699162.IB</t>
  </si>
  <si>
    <t>20160122</t>
  </si>
  <si>
    <t>16鲁商SCP001</t>
  </si>
  <si>
    <t>041660004.IB</t>
  </si>
  <si>
    <t>20160118</t>
  </si>
  <si>
    <t>16鲁商CP001</t>
  </si>
  <si>
    <t>011599955.IB</t>
  </si>
  <si>
    <t>20151201</t>
  </si>
  <si>
    <t>15鲁商SCP012</t>
  </si>
  <si>
    <t>011599887.IB</t>
  </si>
  <si>
    <t>20151112</t>
  </si>
  <si>
    <t>15鲁商SCP011</t>
  </si>
  <si>
    <t>011599831.IB</t>
  </si>
  <si>
    <t>20151027</t>
  </si>
  <si>
    <t>15鲁商SCP010</t>
  </si>
  <si>
    <t>011599764.IB</t>
  </si>
  <si>
    <t>20151014</t>
  </si>
  <si>
    <t>15鲁商SCP009</t>
  </si>
  <si>
    <t>011599648.IB</t>
  </si>
  <si>
    <t>20150911</t>
  </si>
  <si>
    <t>15鲁商SCP008</t>
  </si>
  <si>
    <t>101560044.IB</t>
  </si>
  <si>
    <t>20150811</t>
  </si>
  <si>
    <t>15鲁商MTN002</t>
  </si>
  <si>
    <t>041560062.IB</t>
  </si>
  <si>
    <t>20150724</t>
  </si>
  <si>
    <t>15鲁商CP001</t>
  </si>
  <si>
    <t>011599457.IB</t>
  </si>
  <si>
    <t>20150715</t>
  </si>
  <si>
    <t>15鲁商SCP007</t>
  </si>
  <si>
    <t>011599433.IB</t>
  </si>
  <si>
    <t>20150707</t>
  </si>
  <si>
    <t>15鲁商SCP006</t>
  </si>
  <si>
    <t>101560032.IB</t>
  </si>
  <si>
    <t>20150623</t>
  </si>
  <si>
    <t>15鲁商MTN001</t>
  </si>
  <si>
    <t>031560037.IB</t>
  </si>
  <si>
    <t>20150604</t>
  </si>
  <si>
    <t>15鲁商PPN003</t>
  </si>
  <si>
    <t>031568014.IB</t>
  </si>
  <si>
    <t>20150520</t>
  </si>
  <si>
    <t>15鲁商PPN002</t>
  </si>
  <si>
    <t>011599183.IB</t>
  </si>
  <si>
    <t>20150416</t>
  </si>
  <si>
    <t>15鲁商SCP005</t>
  </si>
  <si>
    <t>011599149.IB</t>
  </si>
  <si>
    <t>20150402</t>
  </si>
  <si>
    <t>15鲁商SCP004</t>
  </si>
  <si>
    <t>011599114.IB</t>
  </si>
  <si>
    <t>20150318</t>
  </si>
  <si>
    <t>15鲁商SCP003</t>
  </si>
  <si>
    <t>011599072.IB</t>
  </si>
  <si>
    <t>20150303</t>
  </si>
  <si>
    <t>15鲁商SCP002</t>
  </si>
  <si>
    <t>031560008.IB</t>
  </si>
  <si>
    <t>20150211</t>
  </si>
  <si>
    <t>15鲁商PPN001</t>
  </si>
  <si>
    <t>011599037.IB</t>
  </si>
  <si>
    <t>20150130</t>
  </si>
  <si>
    <t>15鲁商SCP001</t>
  </si>
  <si>
    <t>101460053.IB</t>
  </si>
  <si>
    <t>20141223</t>
  </si>
  <si>
    <t>14鲁商MTN002</t>
  </si>
  <si>
    <t>101460050.IB</t>
  </si>
  <si>
    <t>20141210</t>
  </si>
  <si>
    <t>14鲁商MTN001</t>
  </si>
  <si>
    <t>011499052.IB</t>
  </si>
  <si>
    <t>20141104</t>
  </si>
  <si>
    <t>14鲁商SCP002</t>
  </si>
  <si>
    <t>011499025.IB</t>
  </si>
  <si>
    <t>20140923</t>
  </si>
  <si>
    <t>14鲁商SCP001</t>
  </si>
  <si>
    <t>041460058.IB</t>
  </si>
  <si>
    <t>20140618</t>
  </si>
  <si>
    <t>14鲁商CP002</t>
  </si>
  <si>
    <t>031466001.IB</t>
  </si>
  <si>
    <t>20140414</t>
  </si>
  <si>
    <t>14鲁商PPN001</t>
  </si>
  <si>
    <t>041460014.IB</t>
  </si>
  <si>
    <t>20140307</t>
  </si>
  <si>
    <t>14鲁商CP001</t>
  </si>
  <si>
    <t>101360020.IB</t>
  </si>
  <si>
    <t>20131119</t>
  </si>
  <si>
    <t>13鲁商MTN001</t>
  </si>
  <si>
    <t>041360080.IB</t>
  </si>
  <si>
    <t>13鲁商CP002</t>
  </si>
  <si>
    <t>031366002.IB</t>
  </si>
  <si>
    <t>20131028</t>
  </si>
  <si>
    <t>13鲁商PPN002</t>
  </si>
  <si>
    <t>031366001.IB</t>
  </si>
  <si>
    <t>20130412</t>
  </si>
  <si>
    <t>13鲁商PPN001</t>
  </si>
  <si>
    <t>041360005.IB</t>
  </si>
  <si>
    <t>20130122</t>
  </si>
  <si>
    <t>13鲁商CP001</t>
  </si>
  <si>
    <t>1282482.IB</t>
  </si>
  <si>
    <t>20121120</t>
  </si>
  <si>
    <t>12鲁商MTN1</t>
  </si>
  <si>
    <t>031266002.IB</t>
  </si>
  <si>
    <t>20120816</t>
  </si>
  <si>
    <t>12鲁商PPN002</t>
  </si>
  <si>
    <t>031266001.IB</t>
  </si>
  <si>
    <t>20120612</t>
  </si>
  <si>
    <t>12鲁商PPN001</t>
  </si>
  <si>
    <t>041160017.IB</t>
  </si>
  <si>
    <t>20111222</t>
  </si>
  <si>
    <t>11鲁商CP001</t>
  </si>
  <si>
    <t>1182261.IB</t>
  </si>
  <si>
    <t>20110927</t>
  </si>
  <si>
    <t>11鲁商MTN1</t>
  </si>
  <si>
    <t>1081282.IB</t>
  </si>
  <si>
    <t>20100827</t>
  </si>
  <si>
    <t>10鲁商CP01</t>
  </si>
  <si>
    <t>1080032.IB</t>
  </si>
  <si>
    <t>20100311</t>
  </si>
  <si>
    <t>10鲁商债</t>
  </si>
  <si>
    <t>122919.SH</t>
  </si>
  <si>
    <t>0981131.IB</t>
  </si>
  <si>
    <t>20090803</t>
  </si>
  <si>
    <t>09鲁商CP01</t>
  </si>
  <si>
    <t>0881009.IB</t>
  </si>
  <si>
    <t>20080114</t>
  </si>
  <si>
    <t>08鲁商CP01</t>
  </si>
  <si>
    <t>0681195.IB</t>
  </si>
  <si>
    <t>20061106</t>
  </si>
  <si>
    <t>06鲁商CP01</t>
  </si>
  <si>
    <t>历史主体评级</t>
  </si>
  <si>
    <t>发布日期</t>
  </si>
  <si>
    <t>主体资信级别</t>
  </si>
  <si>
    <t>评级展望</t>
  </si>
  <si>
    <t>评级机构</t>
  </si>
  <si>
    <t>稳定</t>
  </si>
  <si>
    <t>联合信用评级有限公司</t>
  </si>
  <si>
    <t>20181130</t>
  </si>
  <si>
    <t>联合资信评估有限公司</t>
  </si>
  <si>
    <t>20181031</t>
  </si>
  <si>
    <t>大公国际资信评估有限公司</t>
  </si>
  <si>
    <t>20181018</t>
  </si>
  <si>
    <t>20180806</t>
  </si>
  <si>
    <t>20180719</t>
  </si>
  <si>
    <t>20180625</t>
  </si>
  <si>
    <t>20180614</t>
  </si>
  <si>
    <t>20180409</t>
  </si>
  <si>
    <t>20180209</t>
  </si>
  <si>
    <t>20180112</t>
  </si>
  <si>
    <t>20171121</t>
  </si>
  <si>
    <t>20171102</t>
  </si>
  <si>
    <t>20170817</t>
  </si>
  <si>
    <t>20170619</t>
  </si>
  <si>
    <t>20170614</t>
  </si>
  <si>
    <t>20170609</t>
  </si>
  <si>
    <t>20170302</t>
  </si>
  <si>
    <t>20160719</t>
  </si>
  <si>
    <t>20160628</t>
  </si>
  <si>
    <t>20160627</t>
  </si>
  <si>
    <t>20160413</t>
  </si>
  <si>
    <t>20160325</t>
  </si>
  <si>
    <t>20160125</t>
  </si>
  <si>
    <t>20151231</t>
  </si>
  <si>
    <t>东方金诚国际信用评估有限公司</t>
  </si>
  <si>
    <t>20151208</t>
  </si>
  <si>
    <t>20150717</t>
  </si>
  <si>
    <t>20150630</t>
  </si>
  <si>
    <t>20150312</t>
  </si>
  <si>
    <t>20141125</t>
  </si>
  <si>
    <t>20140918</t>
  </si>
  <si>
    <t>20140703</t>
  </si>
  <si>
    <t>20140520</t>
  </si>
  <si>
    <t>20140310</t>
  </si>
  <si>
    <t>20140113</t>
  </si>
  <si>
    <t>20130626</t>
  </si>
  <si>
    <t>20121205</t>
  </si>
  <si>
    <t>20120926</t>
  </si>
  <si>
    <t>20111110</t>
  </si>
  <si>
    <t>20110929</t>
  </si>
  <si>
    <t>20110620</t>
  </si>
  <si>
    <t>20101213</t>
  </si>
  <si>
    <t>AA</t>
  </si>
  <si>
    <t>20100806</t>
  </si>
  <si>
    <t>20090603</t>
  </si>
  <si>
    <t>20090519</t>
  </si>
  <si>
    <t>20081229</t>
  </si>
  <si>
    <t>20071106</t>
  </si>
  <si>
    <t>AA-</t>
  </si>
  <si>
    <t>20070430</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</si>
  <si>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</si>
  <si>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</si>
  <si>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</si>
  <si>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</si>
  <si>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</si>
  <si>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</si>
  <si>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</si>
  <si>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</si>
  <si>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</si>
  <si>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苏宁电器集团有限公司</t>
  </si>
  <si>
    <t>AA+稳定上调至AAA稳定</t>
  </si>
  <si>
    <t>我爱我家控股集团股份有限公司</t>
  </si>
  <si>
    <t>AA-稳定上调至AA稳定</t>
  </si>
  <si>
    <t>中诚信国际信用评级有限责任公司</t>
  </si>
  <si>
    <t>2017年以来，公司以发行股份及支付现金的方式购买了北京我爱我家地产经纪，总资产规模同比大幅增长，我爱我家地产经纪一直保持领先的行业地位，门店规模不断扩大；受益于发行股票，公司资本实力显著提升且非受限货币能覆盖短期债务；同时公司继续保持较高的自有物业比例，百货门店地理位置优越。</t>
  </si>
  <si>
    <t>近一年来同行业发债企业主体评级下调情况</t>
  </si>
  <si>
    <t>主体资信级别下调</t>
  </si>
  <si>
    <t>主体评级展望下调</t>
  </si>
  <si>
    <t>三胞集团有限公司</t>
  </si>
  <si>
    <t>A负面下调至BB负面</t>
  </si>
  <si>
    <t>中证鹏元资信评估股份有限公司</t>
  </si>
  <si>
    <t>公司部分资产被冻结，流动性压力进一步加大</t>
  </si>
  <si>
    <t>江苏宏图高科技股份有限公司</t>
  </si>
  <si>
    <t>BBB-下调至C</t>
  </si>
  <si>
    <t xml:space="preserve">由于公司受到控股股东三胞集团流动性风险的影响， 以及为化解三胞集团债务风险而成立的债委会统筹安排三胞集团及其下属企业的投融资，导致公司未能按时足额兑付“ 巧宏图MTN001 ” </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</si>
  <si>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</si>
  <si>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</si>
  <si>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</si>
  <si>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</si>
  <si>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</si>
  <si>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</si>
  <si>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</si>
  <si>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</si>
  <si>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</si>
  <si>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</si>
  <si>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</si>
  <si>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</si>
  <si>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</si>
  <si>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</si>
  <si>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</si>
  <si>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</si>
  <si>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</si>
  <si>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</si>
  <si>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</si>
  <si>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</si>
  <si>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</si>
  <si>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</si>
  <si>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</si>
  <si>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</si>
  <si>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</si>
  <si>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山东省商业集团有限公司</t>
  </si>
  <si>
    <t>地方国有企业</t>
  </si>
  <si>
    <t>工业--资本货物--综合类Ⅲ--综合类行业</t>
  </si>
  <si>
    <t>山东省济南市历下区经十路9777号</t>
  </si>
  <si>
    <t>2012年，公司零售业销售规模居全国第9名，经营网点覆盖山东省大部分地区，并实现了省外门店的布局。公司通过采取“总部—中心店—分店”式的连锁经营体制改革，坚持公司采购本部、营运本部、财务本部、人力资源本部、企业发展本部和物业管理中心六大本部运营模式。总部将采购、财务、物流、人事权统一上收，内部实行统一采购、统一配送、统一结算，店铺只负责日常的营运销售，充分发挥银座的规模优势，有利于实现规模效益。公司零售业现有百货、大卖场、购物中心、专业店和专卖店、超市多种零售业态的经营模式，并且向省内二三线城市迅速布点扩张门店，并审慎扩张省外经营网点。公司的生物制药业、房地产业、教育业等板块的业务发展态势也保持良好的增长态势，这与公司经营管理层具备较高的管理水平不相分离，公司通过制度化、标准化操作规范，能保证集团垮行业、垮区域的多元化经营模式的发展和快速扩张，公司在管理上具备明显的优势。</t>
  </si>
  <si>
    <t>山东省人民政府国有资产监督管理委员会</t>
  </si>
  <si>
    <t>山东国惠投资有限公司</t>
  </si>
  <si>
    <t>山东省社会保障基金理事会</t>
  </si>
  <si>
    <t/>
  </si>
  <si>
    <t>A-1</t>
  </si>
  <si>
    <t>AAA</t>
  </si>
  <si>
    <t>武汉国有资产经营有限公司</t>
  </si>
  <si>
    <t>长春欧亚集团股份有限公司</t>
  </si>
  <si>
    <t>上海徐家汇商城(集团)有限公司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</si>
</sst>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山东省商业集团有限公司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工业--资本货物--综合类Ⅲ--综合类行业</v>
      </c>
      <c r="C5" s="120"/>
      <c r="D5" s="57" t="s">
        <v>5</v>
      </c>
      <c r="E5" s="119" t="str">
        <f>[1]!b_issuer_regaddress(A2)</f>
        <v>山东省济南市历下区经十路9777号</v>
      </c>
      <c r="F5" s="120"/>
      <c r="G5" s="120"/>
    </row>
    <row r="6" spans="1:20" s="17" customFormat="1" ht="81" customHeight="1" x14ac:dyDescent="0.25">
      <c r="A6" s="57" t="s">
        <v>6</v>
      </c>
      <c r="B6" s="121" t="str">
        <f>[1]!s_info_briefing(A2)</f>
        <v>2012年，公司零售业销售规模居全国第9名，经营网点覆盖山东省大部分地区，并实现了省外门店的布局。公司通过采取“总部—中心店—分店”式的连锁经营体制改革，坚持公司采购本部、营运本部、财务本部、人力资源本部、企业发展本部和物业管理中心六大本部运营模式。总部将采购、财务、物流、人事权统一上收，内部实行统一采购、统一配送、统一结算，店铺只负责日常的营运销售，充分发挥银座的规模优势，有利于实现规模效益。公司零售业现有百货、大卖场、购物中心、专业店和专卖店、超市多种零售业态的经营模式，并且向省内二三线城市迅速布点扩张门店，并审慎扩张省外经营网点。公司的生物制药业、房地产业、教育业等板块的业务发展态势也保持良好的增长态势，这与公司经营管理层具备较高的管理水平不相分离，公司通过制度化、标准化操作规范，能保证集团垮行业、垮区域的多元化经营模式的发展和快速扩张，公司在管理上具备明显的优势。</v>
      </c>
      <c r="C6" s="120"/>
      <c r="D6" s="120"/>
      <c r="E6" s="120"/>
      <c r="F6" s="120"/>
      <c r="G6" s="120"/>
    </row>
    <row r="7" spans="1:20" s="17" customFormat="1" x14ac:dyDescent="0.25">
      <c r="A7" s="59" t="s">
        <v>7</v>
      </c>
      <c r="B7" s="122" t="str">
        <f>[1]!b_issuer_shareholder(A2,"",1)</f>
        <v>山东省人民政府国有资产监督管理委员会</v>
      </c>
      <c r="C7" s="120"/>
      <c r="D7" s="120"/>
      <c r="E7" s="120"/>
      <c r="F7" s="61">
        <f>[1]!b_issuer_propofshareholder($A$2,"",1)%</f>
        <v>0.7</v>
      </c>
      <c r="G7" s="60"/>
      <c r="H7" s="20" t="s">
        <v>8</v>
      </c>
      <c r="M7" s="24">
        <v>42004</v>
      </c>
      <c r="N7" s="24">
        <v>42369</v>
      </c>
      <c r="O7" s="24">
        <v>41639</v>
      </c>
      <c r="P7" s="62" t="s">
        <v>9</v>
      </c>
      <c r="Q7" s="62" t="s">
        <v>10</v>
      </c>
      <c r="R7" s="62" t="s">
        <v>11</v>
      </c>
    </row>
    <row r="8" spans="1:20" s="17" customFormat="1" x14ac:dyDescent="0.25">
      <c r="A8" s="59"/>
      <c r="B8" s="122" t="str">
        <f>[1]!b_issuer_shareholder(A2,"",2)</f>
        <v>山东国惠投资有限公司</v>
      </c>
      <c r="C8" s="120"/>
      <c r="D8" s="120"/>
      <c r="E8" s="120"/>
      <c r="F8" s="61">
        <f>[1]!b_issuer_propofshareholder($A$2,"",2)%</f>
        <v>0.2</v>
      </c>
      <c r="G8" s="60"/>
      <c r="H8" s="20"/>
      <c r="M8" s="25"/>
      <c r="O8" s="25"/>
      <c r="P8" s="63"/>
    </row>
    <row r="9" spans="1:20" s="17" customFormat="1" x14ac:dyDescent="0.25">
      <c r="A9" s="59"/>
      <c r="B9" s="122" t="str">
        <f>[1]!b_issuer_shareholder(A2,"",3)</f>
        <v>山东省社会保障基金理事会</v>
      </c>
      <c r="C9" s="120"/>
      <c r="D9" s="120"/>
      <c r="E9" s="120"/>
      <c r="F9" s="61">
        <f>[1]!b_issuer_propofshareholder($A$2,"",3)%</f>
        <v>0.1</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d19041204.IB</v>
      </c>
      <c r="K14" s="26"/>
      <c r="L14" s="27" t="str">
        <f>T15</f>
        <v>041559003.IB</v>
      </c>
      <c r="M14" s="27" t="str">
        <f>T16</f>
        <v>122127.SH</v>
      </c>
      <c r="N14" s="27" t="str">
        <f>T17</f>
        <v>1282279.IB</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山东省商业集团有限公司</v>
      </c>
      <c r="K15" s="138"/>
      <c r="L15" s="8" t="str">
        <f>[1]!b_info_issuer(L14)</f>
        <v>武汉国有资产经营有限公司</v>
      </c>
      <c r="M15" s="8" t="str">
        <f>[1]!b_info_issuer(M14)</f>
        <v>长春欧亚集团股份有限公司</v>
      </c>
      <c r="N15" s="8" t="str">
        <f>[1]!b_info_issuer(N14)</f>
        <v>上海徐家汇商城(集团)有限公司</v>
      </c>
      <c r="O15" s="8">
        <f>[1]!b_info_issuer(O14)</f>
        <v>0</v>
      </c>
      <c r="P15" s="8">
        <f>[1]!b_info_issuer(P14)</f>
        <v>0</v>
      </c>
      <c r="Q15" s="8">
        <f>[1]!b_info_issuer(Q14)</f>
        <v>0</v>
      </c>
      <c r="R15" s="8">
        <f>[1]!b_info_issuer(R14)</f>
        <v>0</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24"/>
      <c r="L16" s="66" t="s">
        <v>25</v>
      </c>
      <c r="M16" s="66" t="s">
        <v>25</v>
      </c>
      <c r="N16" s="66" t="s">
        <v>25</v>
      </c>
      <c r="O16" s="66">
        <f>[1]!b_info_latestissurercreditrating(O14)</f>
        <v>0</v>
      </c>
      <c r="P16" s="66">
        <f>[1]!b_info_latestissurercreditrating(P14)</f>
        <v>0</v>
      </c>
      <c r="Q16" s="66">
        <f>[1]!b_info_latestissurercreditrating(Q14)</f>
        <v>0</v>
      </c>
      <c r="R16" s="66">
        <f>[1]!b_info_latestissurercreditrating(R14)</f>
        <v>0</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地方国有企业</v>
      </c>
      <c r="M17" s="67" t="str">
        <f>[1]!s_info_nature(M14)</f>
        <v>地方国有企业</v>
      </c>
      <c r="N17" s="67" t="str">
        <f>[1]!s_info_nature(N14)</f>
        <v>地方国有企业</v>
      </c>
      <c r="O17" s="67">
        <f>[1]!s_info_nature(O14)</f>
        <v>0</v>
      </c>
      <c r="P17" s="67">
        <f>[1]!s_info_nature(P14)</f>
        <v>0</v>
      </c>
      <c r="Q17" s="67">
        <f>[1]!s_info_nature(Q14)</f>
        <v>0</v>
      </c>
      <c r="R17" s="67">
        <f>[1]!s_info_nature(R14)</f>
        <v>0</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31</v>
      </c>
      <c r="J19" s="68">
        <f>[1]!b_stm07_bs(J14,74,J13,1)/100000000</f>
        <v>847.52370665710009</v>
      </c>
      <c r="K19" s="124"/>
      <c r="L19" s="68">
        <f>[1]!b_stm07_bs(L14,74,L13,1)/100000000</f>
        <v>560.36719413440005</v>
      </c>
      <c r="M19" s="68">
        <f>[1]!b_stm07_bs(M14,74,M13,1)/100000000</f>
        <v>217.64059442139998</v>
      </c>
      <c r="N19" s="68">
        <f>[1]!b_stm07_bs(N14,74,N13,1)/100000000</f>
        <v>60.633217351800006</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32</v>
      </c>
      <c r="J20" s="10">
        <f>[1]!s_fa_debttoassets(J14,J13)/100</f>
        <v>0.839866</v>
      </c>
      <c r="K20" s="124"/>
      <c r="L20" s="10">
        <f>[1]!s_fa_debttoassets(L14,L13)/100</f>
        <v>0.67967200000000005</v>
      </c>
      <c r="M20" s="10">
        <f>[1]!s_fa_debttoassets(M14,M13)/100</f>
        <v>0.76355099999999998</v>
      </c>
      <c r="N20" s="10">
        <f>[1]!s_fa_debttoassets(N14,N13)/100</f>
        <v>0.23130800000000001</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33</v>
      </c>
      <c r="J21" s="68">
        <f>[1]!s_fa_current(J14,J13)</f>
        <v>1.3934</v>
      </c>
      <c r="K21" s="124"/>
      <c r="L21" s="68">
        <f>[1]!s_fa_current(L14,L13)</f>
        <v>0.8337</v>
      </c>
      <c r="M21" s="68">
        <f>[1]!s_fa_current(M14,M13)</f>
        <v>0.43419999999999997</v>
      </c>
      <c r="N21" s="68">
        <f>[1]!s_fa_current(N14,N13)</f>
        <v>2.1768000000000001</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34</v>
      </c>
      <c r="J22" s="66">
        <f>(J96+J97+J98+J99+J100+J101)/J103</f>
        <v>2.619042183990111</v>
      </c>
      <c r="K22" s="124"/>
      <c r="L22" s="66">
        <f>(公式页!L96+公式页!L97+公式页!L98+公式页!L99+公式页!L100+公式页!L101)/公式页!L103</f>
        <v>0.92215869609953627</v>
      </c>
      <c r="M22" s="66">
        <f t="shared" ref="M22:R22" si="0">(M96+M97+M98+M99+M100+M101)/M103</f>
        <v>1.5769320439410111</v>
      </c>
      <c r="N22" s="66">
        <f t="shared" si="0"/>
        <v>2.1455430604265316E-2</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35</v>
      </c>
      <c r="J23" s="68">
        <f>[1]!s_fa_ebitdatodebt(J14,J13)</f>
        <v>3.9300000000000002E-2</v>
      </c>
      <c r="K23" s="124"/>
      <c r="L23" s="68">
        <f>[1]!s_fa_ebitdatodebt(L14,L13)</f>
        <v>0.1076</v>
      </c>
      <c r="M23" s="68">
        <f>[1]!s_fa_ebitdatodebt(M14,M13)</f>
        <v>0.1016</v>
      </c>
      <c r="N23" s="68">
        <f>[1]!s_fa_ebitdatodebt(N14,N13)</f>
        <v>0.43759999999999999</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36</v>
      </c>
      <c r="J24" s="68">
        <f>[1]!b_stm07_is(J14,9,J13,1)/100000000</f>
        <v>364.4700471493</v>
      </c>
      <c r="K24" s="124"/>
      <c r="L24" s="68">
        <f>[1]!b_stm07_is(L14,9,L13,1)/100000000</f>
        <v>383.07033713570002</v>
      </c>
      <c r="M24" s="68">
        <f>[1]!b_stm07_is(M14,9,M13,1)/100000000</f>
        <v>139.8142395175</v>
      </c>
      <c r="N24" s="68">
        <f>[1]!b_stm07_is(N14,9,N13,1)/100000000</f>
        <v>23.187888261799998</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37</v>
      </c>
      <c r="J25" s="11">
        <f>[1]!s_fa_salescashintoor(J14,J13)%</f>
        <v>1.0940000000000001</v>
      </c>
      <c r="K25" s="124"/>
      <c r="L25" s="11">
        <f>[1]!s_fa_salescashintoor(L14,L13)%</f>
        <v>1.1471</v>
      </c>
      <c r="M25" s="11">
        <f>[1]!s_fa_salescashintoor(M14,M13)%</f>
        <v>1.0669999999999999</v>
      </c>
      <c r="N25" s="11">
        <f>[1]!s_fa_salescashintoor(N14,N13)%</f>
        <v>1.1465000000000001</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38</v>
      </c>
      <c r="J26" s="11">
        <f>[1]!s_fa_grossprofitmargin(J14,J13)%</f>
        <v>0.19256000000000001</v>
      </c>
      <c r="K26" s="124"/>
      <c r="L26" s="11">
        <f>[1]!s_fa_grossprofitmargin(L14,L13)%</f>
        <v>0.22891500000000001</v>
      </c>
      <c r="M26" s="11">
        <f>[1]!s_fa_grossprofitmargin(M14,M13)%</f>
        <v>0.22555700000000001</v>
      </c>
      <c r="N26" s="11">
        <f>[1]!s_fa_grossprofitmargin(N14,N13)%</f>
        <v>0.32264100000000001</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39</v>
      </c>
      <c r="J27" s="69">
        <f>[1]!b_stm07_is(J14,60,J13,1)/100000000</f>
        <v>3.6998887529000002</v>
      </c>
      <c r="K27" s="124"/>
      <c r="L27" s="69">
        <f>[1]!b_stm07_is(L14,60,L13,1)/100000000</f>
        <v>20.978157472500001</v>
      </c>
      <c r="M27" s="69">
        <f>[1]!b_stm07_is(M14,60,M13,1)/100000000</f>
        <v>6.1048646030999993</v>
      </c>
      <c r="N27" s="69">
        <f>[1]!b_stm07_is(N14,60,N13,1)/100000000</f>
        <v>3.7546882942000002</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40</v>
      </c>
      <c r="I28" s="54" t="s">
        <v>41</v>
      </c>
      <c r="J28" s="10">
        <f>[1]!s_fa_roe(J14,J13)%</f>
        <v>3.092E-2</v>
      </c>
      <c r="K28" s="124"/>
      <c r="L28" s="10">
        <f>[1]!s_fa_roe(L14,L13)%</f>
        <v>0.100687</v>
      </c>
      <c r="M28" s="10">
        <f>[1]!s_fa_roe(M14,M13)%</f>
        <v>0.10772399999999999</v>
      </c>
      <c r="N28" s="10">
        <f>[1]!s_fa_roe(N14,N13)%</f>
        <v>6.3261999999999999E-2</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42</v>
      </c>
      <c r="J29" s="69">
        <f>[1]!b_stm07_cs(J14,39,J13,1)/100000000</f>
        <v>38.924904073899995</v>
      </c>
      <c r="K29" s="124"/>
      <c r="L29" s="69">
        <f>[1]!b_stm07_cs(L14,39,L13,1)/100000000</f>
        <v>37.254849480200001</v>
      </c>
      <c r="M29" s="69">
        <f>[1]!b_stm07_cs(M14,39,M13,1)/100000000</f>
        <v>16.606519926500003</v>
      </c>
      <c r="N29" s="69">
        <f>[1]!b_stm07_cs(N14,39,N13,1)/100000000</f>
        <v>4.1264311295000002</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43</v>
      </c>
      <c r="J96" s="71">
        <f>[1]!b_stm07_bs(J14,75,J13,1)</f>
        <v>9143834860.4699993</v>
      </c>
      <c r="K96" s="71"/>
      <c r="L96" s="71">
        <f>[1]!b_stm07_bs(L14,75,L13,1)</f>
        <v>2965600000</v>
      </c>
      <c r="M96" s="71">
        <f>[1]!b_stm07_bs(M14,75,M13,1)</f>
        <v>5393800000</v>
      </c>
      <c r="N96" s="71">
        <f>[1]!b_stm07_bs(N14,75,N13,1)</f>
        <v>100000000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44</v>
      </c>
      <c r="J97" s="71">
        <f>[1]!b_stm07_bs(J14,82,J13,1)</f>
        <v>203865755.75</v>
      </c>
      <c r="K97" s="71"/>
      <c r="L97" s="71">
        <f>[1]!b_stm07_bs(L14,82,L13,1)</f>
        <v>214793170.80000001</v>
      </c>
      <c r="M97" s="71">
        <f>[1]!b_stm07_bs(M14,82,M13,1)</f>
        <v>25497500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45</v>
      </c>
      <c r="J98" s="71">
        <f>[1]!b_stm07_bs(J14,88,J13,1)</f>
        <v>4833428928.1099997</v>
      </c>
      <c r="K98" s="71"/>
      <c r="L98" s="71">
        <f>[1]!b_stm07_bs(L14,88,L13,1)</f>
        <v>1977196767.22</v>
      </c>
      <c r="M98" s="71">
        <f>[1]!b_stm07_bs(M14,88,M13,1)</f>
        <v>484000000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46</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47</v>
      </c>
      <c r="J100" s="71">
        <f>[1]!b_stm07_bs(J14,94,J13,1)</f>
        <v>8053723402.9200001</v>
      </c>
      <c r="K100" s="71"/>
      <c r="L100" s="71">
        <f>[1]!b_stm07_bs(L14,94,L13,1)</f>
        <v>6639034321.4300003</v>
      </c>
      <c r="M100" s="71">
        <f>[1]!b_stm07_bs(M14,94,M13,1)</f>
        <v>1743000000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48</v>
      </c>
      <c r="J101" s="71">
        <f>[1]!b_stm07_bs(J14,95,J13,1)</f>
        <v>13310025964.280001</v>
      </c>
      <c r="K101" s="71"/>
      <c r="L101" s="71">
        <f>[1]!b_stm07_bs(L14,95,L13,1)</f>
        <v>4756241467</v>
      </c>
      <c r="M101" s="71">
        <f>[1]!b_stm07_bs(M14,95,M13,1)</f>
        <v>468721406.31999999</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49</v>
      </c>
      <c r="J103" s="71">
        <f>[1]!b_stm07_bs(J14,141,J13,1)</f>
        <v>13571709203.01</v>
      </c>
      <c r="K103" s="71"/>
      <c r="L103" s="71">
        <f>[1]!b_stm07_bs(L14,141,L13,1)</f>
        <v>17950127018.77</v>
      </c>
      <c r="M103" s="71">
        <f>[1]!b_stm07_bs(M14,141,M13,1)</f>
        <v>5146080287.6700001</v>
      </c>
      <c r="N103" s="71">
        <f>[1]!b_stm07_bs(N14,141,N13,1)</f>
        <v>4660824657.6099997</v>
      </c>
      <c r="O103" s="71">
        <f>[1]!b_stm07_bs(O14,141,O13,1)</f>
        <v>0</v>
      </c>
      <c r="P103" s="71">
        <f>[1]!b_stm07_bs(P14,141,P13,1)</f>
        <v>0</v>
      </c>
      <c r="Q103" s="71">
        <f>[1]!b_stm07_bs(Q14,141,Q13,1)</f>
        <v>0</v>
      </c>
      <c r="R103" s="71">
        <f>[1]!b_stm07_bs(R14,141,R13,1)</f>
        <v>0</v>
      </c>
    </row>
    <row r="106" spans="1:19" ht="14.25" customHeight="1" x14ac:dyDescent="0.25">
      <c r="A106" s="123" t="s">
        <v>50</v>
      </c>
      <c r="B106" s="118"/>
      <c r="C106" s="118"/>
      <c r="D106" s="124"/>
      <c r="E106" s="124"/>
      <c r="F106" s="124"/>
      <c r="G106" s="124"/>
      <c r="H106" s="124"/>
      <c r="I106" s="124"/>
      <c r="J106" s="124"/>
      <c r="L106" s="17"/>
      <c r="M106" s="17"/>
    </row>
    <row r="107" spans="1:19" x14ac:dyDescent="0.25">
      <c r="A107" s="125" t="s">
        <v>51</v>
      </c>
      <c r="B107" s="118"/>
      <c r="C107" s="118"/>
      <c r="D107" s="124"/>
      <c r="E107" s="124"/>
      <c r="F107" s="124"/>
      <c r="G107" s="126">
        <v>2017</v>
      </c>
      <c r="H107" s="124"/>
      <c r="I107" s="124"/>
      <c r="J107" s="124"/>
      <c r="K107" s="40" t="str">
        <f>A2</f>
        <v>d19041204.IB</v>
      </c>
      <c r="L107" s="33">
        <f>B2</f>
        <v>43100</v>
      </c>
      <c r="M107" s="17"/>
    </row>
    <row r="108" spans="1:19" ht="12.75" customHeight="1" x14ac:dyDescent="0.25">
      <c r="A108" s="127" t="s">
        <v>52</v>
      </c>
      <c r="B108" s="118"/>
      <c r="C108" s="127" t="s">
        <v>53</v>
      </c>
      <c r="D108" s="124"/>
      <c r="E108" s="127" t="s">
        <v>54</v>
      </c>
      <c r="F108" s="124"/>
      <c r="G108" s="127" t="s">
        <v>55</v>
      </c>
      <c r="H108" s="124"/>
      <c r="I108" s="127" t="s">
        <v>56</v>
      </c>
      <c r="J108" s="124"/>
      <c r="L108" s="17"/>
      <c r="M108" s="17"/>
    </row>
    <row r="109" spans="1:19" ht="16.5" customHeight="1" x14ac:dyDescent="0.25">
      <c r="A109" s="54" t="s">
        <v>57</v>
      </c>
      <c r="B109" s="12">
        <f>M109/100</f>
        <v>0.839866</v>
      </c>
      <c r="C109" s="54" t="s">
        <v>33</v>
      </c>
      <c r="D109" s="72">
        <f>[1]!s_fa_current(A2,B2)</f>
        <v>1.3934</v>
      </c>
      <c r="E109" s="54" t="s">
        <v>37</v>
      </c>
      <c r="F109" s="73">
        <f>[1]!s_fa_salescashintoor(A2,B2)/100</f>
        <v>1.0940000000000001</v>
      </c>
      <c r="G109" s="54" t="s">
        <v>38</v>
      </c>
      <c r="H109" s="12">
        <f>S109/100</f>
        <v>0.19256000000000001</v>
      </c>
      <c r="I109" s="54"/>
      <c r="J109" s="16"/>
      <c r="K109" s="25"/>
      <c r="L109" s="34" t="s">
        <v>57</v>
      </c>
      <c r="M109" s="74">
        <f>[1]!s_fa_debttoassets(A2,B2)</f>
        <v>83.986599999999996</v>
      </c>
      <c r="N109" s="54" t="s">
        <v>33</v>
      </c>
      <c r="O109" s="35"/>
      <c r="P109" s="54" t="s">
        <v>37</v>
      </c>
      <c r="Q109" s="35"/>
      <c r="R109" s="54" t="s">
        <v>38</v>
      </c>
      <c r="S109" s="75">
        <f>[1]!s_fa_grossprofitmargin(A2,B2)</f>
        <v>19.256</v>
      </c>
    </row>
    <row r="110" spans="1:19" ht="15.75" customHeight="1" x14ac:dyDescent="0.25">
      <c r="A110" s="54" t="s">
        <v>58</v>
      </c>
      <c r="B110" s="12">
        <f>M110/100</f>
        <v>0.74449299999999996</v>
      </c>
      <c r="C110" s="54" t="s">
        <v>59</v>
      </c>
      <c r="D110" s="73">
        <f>[1]!s_fa_quick(A2,B2)</f>
        <v>0.58660000000000001</v>
      </c>
      <c r="E110" s="54" t="s">
        <v>60</v>
      </c>
      <c r="F110" s="72">
        <f>[1]!s_fa_arturn(A2,B2)</f>
        <v>68.504199999999997</v>
      </c>
      <c r="G110" s="54" t="s">
        <v>61</v>
      </c>
      <c r="H110" s="12">
        <f>S110/100</f>
        <v>2.2019999999999998E-2</v>
      </c>
      <c r="I110" s="54"/>
      <c r="J110" s="16"/>
      <c r="L110" s="54" t="s">
        <v>58</v>
      </c>
      <c r="M110" s="74">
        <f>[1]!s_fa_catoassets(A2,B2)</f>
        <v>74.449299999999994</v>
      </c>
      <c r="N110" s="54" t="s">
        <v>59</v>
      </c>
      <c r="O110" s="35"/>
      <c r="P110" s="54" t="s">
        <v>60</v>
      </c>
      <c r="Q110" s="73"/>
      <c r="R110" s="54" t="s">
        <v>61</v>
      </c>
      <c r="S110" s="75">
        <f>[1]!s_fa_optogr(A2,B2)</f>
        <v>2.202</v>
      </c>
    </row>
    <row r="111" spans="1:19" ht="15" customHeight="1" x14ac:dyDescent="0.25">
      <c r="A111" s="54" t="s">
        <v>62</v>
      </c>
      <c r="B111" s="12">
        <f>M111/100</f>
        <v>0.63616700000000004</v>
      </c>
      <c r="C111" s="54" t="s">
        <v>35</v>
      </c>
      <c r="D111" s="73">
        <f>[1]!s_fa_ebitdatodebt(A2,B2)</f>
        <v>3.9300000000000002E-2</v>
      </c>
      <c r="E111" s="54" t="s">
        <v>63</v>
      </c>
      <c r="F111" s="72">
        <f>[1]!s_fa_invturn(A2,B2)</f>
        <v>0.81189999999999996</v>
      </c>
      <c r="G111" s="54" t="s">
        <v>41</v>
      </c>
      <c r="H111" s="12">
        <f>S111/100</f>
        <v>3.092E-2</v>
      </c>
      <c r="I111" s="54"/>
      <c r="J111" s="16"/>
      <c r="L111" s="54" t="s">
        <v>62</v>
      </c>
      <c r="M111" s="74">
        <f>[1]!s_fa_currentdebttodebt(A2,B2)</f>
        <v>63.616700000000002</v>
      </c>
      <c r="N111" s="54" t="s">
        <v>35</v>
      </c>
      <c r="O111" s="35"/>
      <c r="P111" s="54" t="s">
        <v>63</v>
      </c>
      <c r="Q111" s="35"/>
      <c r="R111" s="54" t="s">
        <v>41</v>
      </c>
      <c r="S111" s="75">
        <f>[1]!s_fa_roe(A2,B2)</f>
        <v>3.0920000000000001</v>
      </c>
    </row>
    <row r="112" spans="1:19" ht="14.25" customHeight="1" x14ac:dyDescent="0.25">
      <c r="A112" s="54" t="s">
        <v>34</v>
      </c>
      <c r="B112" s="76">
        <f>(M116+M117+M118+M119+M120+M121)/M123</f>
        <v>2.619042183990111</v>
      </c>
      <c r="C112" s="54" t="s">
        <v>64</v>
      </c>
      <c r="D112" s="73">
        <f>[1]!s_fa_ebittointerest(A2,B2)</f>
        <v>2.1716000000000002</v>
      </c>
      <c r="E112" s="54" t="s">
        <v>65</v>
      </c>
      <c r="F112" s="72">
        <f>[1]!s_fa_caturn(A2,B2)</f>
        <v>0.59160000000000001</v>
      </c>
      <c r="G112" s="54" t="s">
        <v>66</v>
      </c>
      <c r="H112" s="12">
        <f>S112/100</f>
        <v>1.5695000000000001E-2</v>
      </c>
      <c r="I112" s="54"/>
      <c r="J112" s="16"/>
      <c r="L112" s="54" t="s">
        <v>34</v>
      </c>
      <c r="M112" s="77"/>
      <c r="N112" s="54" t="s">
        <v>64</v>
      </c>
      <c r="O112" s="35"/>
      <c r="P112" s="54" t="s">
        <v>65</v>
      </c>
      <c r="Q112" s="35"/>
      <c r="R112" s="54" t="s">
        <v>66</v>
      </c>
      <c r="S112" s="75">
        <f>[1]!s_fa_roa2(A2,B2)</f>
        <v>1.5694999999999999</v>
      </c>
    </row>
    <row r="113" spans="1:21" x14ac:dyDescent="0.25">
      <c r="A113" s="30"/>
      <c r="B113" s="31"/>
      <c r="C113" s="30"/>
      <c r="D113" s="32"/>
      <c r="E113" s="30" t="s">
        <v>67</v>
      </c>
      <c r="F113" s="78">
        <f>[1]!s_fa_dupont_faturnover(A2,B2)</f>
        <v>0.43430000000000002</v>
      </c>
      <c r="G113" s="30"/>
      <c r="H113" s="31"/>
      <c r="I113" s="30"/>
      <c r="J113" s="31"/>
      <c r="L113" s="30"/>
      <c r="M113" s="36"/>
      <c r="N113" s="30"/>
      <c r="O113" s="32"/>
      <c r="P113" s="30" t="s">
        <v>67</v>
      </c>
      <c r="Q113" s="37"/>
      <c r="R113" s="30"/>
      <c r="S113" s="31"/>
    </row>
    <row r="114" spans="1:21" ht="13.5" customHeight="1" x14ac:dyDescent="0.25">
      <c r="A114" s="123" t="s">
        <v>68</v>
      </c>
      <c r="B114" s="118"/>
      <c r="C114" s="118"/>
      <c r="D114" s="124"/>
      <c r="E114" s="124"/>
      <c r="F114" s="124"/>
      <c r="G114" s="124"/>
      <c r="H114" s="124"/>
      <c r="I114" s="124"/>
      <c r="J114" s="124"/>
      <c r="L114" s="17"/>
      <c r="M114" s="17"/>
    </row>
    <row r="115" spans="1:21" ht="13.5" customHeight="1" x14ac:dyDescent="0.25">
      <c r="A115" s="125" t="s">
        <v>69</v>
      </c>
      <c r="B115" s="118"/>
      <c r="C115" s="118"/>
      <c r="D115" s="124"/>
      <c r="E115" s="124"/>
      <c r="F115" s="124"/>
      <c r="G115" s="128">
        <v>2017</v>
      </c>
      <c r="H115" s="124"/>
      <c r="I115" s="124"/>
      <c r="J115" s="124"/>
      <c r="L115" s="17"/>
      <c r="M115" s="17"/>
    </row>
    <row r="116" spans="1:21" x14ac:dyDescent="0.25">
      <c r="A116" s="129" t="s">
        <v>70</v>
      </c>
      <c r="B116" s="118"/>
      <c r="C116" s="129" t="s">
        <v>71</v>
      </c>
      <c r="D116" s="124"/>
      <c r="E116" s="130" t="s">
        <v>72</v>
      </c>
      <c r="F116" s="124"/>
      <c r="G116" s="124"/>
      <c r="H116" s="124"/>
      <c r="I116" s="124"/>
      <c r="J116" s="124"/>
      <c r="L116" s="17" t="s">
        <v>43</v>
      </c>
      <c r="M116" s="71">
        <f>[1]!b_stm07_bs(K107,75,L107,1)</f>
        <v>9143834860.4699993</v>
      </c>
    </row>
    <row r="117" spans="1:21" ht="14.25" customHeight="1" x14ac:dyDescent="0.25">
      <c r="A117" s="54" t="s">
        <v>73</v>
      </c>
      <c r="B117" s="73">
        <f t="shared" ref="B117:B131" si="1">M127/100000000</f>
        <v>61.633031242799994</v>
      </c>
      <c r="C117" s="54" t="s">
        <v>74</v>
      </c>
      <c r="D117" s="76">
        <f t="shared" ref="D117:D125" si="2">O127/100000000</f>
        <v>365.57625176379997</v>
      </c>
      <c r="E117" s="131" t="s">
        <v>75</v>
      </c>
      <c r="F117" s="124"/>
      <c r="G117" s="124"/>
      <c r="H117" s="132">
        <f t="shared" ref="H117:H131" si="3">S127/100000000</f>
        <v>398.71746692019997</v>
      </c>
      <c r="I117" s="124"/>
      <c r="J117" s="124"/>
      <c r="L117" s="17" t="s">
        <v>44</v>
      </c>
      <c r="M117" s="71">
        <f>[1]!b_stm07_bs(K107,82,L107,1)</f>
        <v>203865755.75</v>
      </c>
    </row>
    <row r="118" spans="1:21" ht="14.25" customHeight="1" x14ac:dyDescent="0.25">
      <c r="A118" s="54" t="s">
        <v>76</v>
      </c>
      <c r="B118" s="73">
        <f t="shared" si="1"/>
        <v>5.8194626902</v>
      </c>
      <c r="C118" s="54" t="s">
        <v>77</v>
      </c>
      <c r="D118" s="76">
        <f t="shared" si="2"/>
        <v>361.46815693690002</v>
      </c>
      <c r="E118" s="131" t="s">
        <v>78</v>
      </c>
      <c r="F118" s="124"/>
      <c r="G118" s="124"/>
      <c r="H118" s="132">
        <f t="shared" si="3"/>
        <v>52.345800248100005</v>
      </c>
      <c r="I118" s="124"/>
      <c r="J118" s="124"/>
      <c r="L118" s="17" t="s">
        <v>45</v>
      </c>
      <c r="M118" s="71">
        <f>[1]!b_stm07_bs(K107,88,L107,1)</f>
        <v>4833428928.1099997</v>
      </c>
    </row>
    <row r="119" spans="1:21" ht="14.25" customHeight="1" x14ac:dyDescent="0.25">
      <c r="A119" s="54" t="s">
        <v>79</v>
      </c>
      <c r="B119" s="73">
        <f t="shared" si="1"/>
        <v>67.641106699299996</v>
      </c>
      <c r="C119" s="54" t="s">
        <v>80</v>
      </c>
      <c r="D119" s="76">
        <f t="shared" si="2"/>
        <v>294.28758342020001</v>
      </c>
      <c r="E119" s="131" t="s">
        <v>81</v>
      </c>
      <c r="F119" s="124"/>
      <c r="G119" s="124"/>
      <c r="H119" s="133">
        <f t="shared" si="3"/>
        <v>453.74912762059995</v>
      </c>
      <c r="I119" s="124"/>
      <c r="J119" s="124"/>
      <c r="L119" s="17" t="s">
        <v>46</v>
      </c>
      <c r="M119" s="71">
        <f>[1]!b_stm07_bs(K107,147,L107,1)</f>
        <v>0</v>
      </c>
    </row>
    <row r="120" spans="1:21" ht="14.25" customHeight="1" x14ac:dyDescent="0.25">
      <c r="A120" s="54" t="s">
        <v>82</v>
      </c>
      <c r="B120" s="73">
        <f t="shared" si="1"/>
        <v>86.58192870180001</v>
      </c>
      <c r="C120" s="54" t="s">
        <v>83</v>
      </c>
      <c r="D120" s="76">
        <f t="shared" si="2"/>
        <v>38.692487394600001</v>
      </c>
      <c r="E120" s="131" t="s">
        <v>84</v>
      </c>
      <c r="F120" s="124"/>
      <c r="G120" s="124"/>
      <c r="H120" s="132">
        <f t="shared" si="3"/>
        <v>325.7655469673</v>
      </c>
      <c r="I120" s="124"/>
      <c r="J120" s="124"/>
      <c r="L120" s="17" t="s">
        <v>47</v>
      </c>
      <c r="M120" s="71">
        <f>[1]!b_stm07_bs(K107,94,L107,1)</f>
        <v>8053723402.9200001</v>
      </c>
    </row>
    <row r="121" spans="1:21" ht="14.25" customHeight="1" x14ac:dyDescent="0.25">
      <c r="A121" s="54" t="s">
        <v>85</v>
      </c>
      <c r="B121" s="73">
        <f t="shared" si="1"/>
        <v>11.790083668199999</v>
      </c>
      <c r="C121" s="54" t="s">
        <v>86</v>
      </c>
      <c r="D121" s="76">
        <f t="shared" si="2"/>
        <v>12.368382248800001</v>
      </c>
      <c r="E121" s="131" t="s">
        <v>87</v>
      </c>
      <c r="F121" s="124"/>
      <c r="G121" s="124"/>
      <c r="H121" s="132">
        <f t="shared" si="3"/>
        <v>32.654196308499998</v>
      </c>
      <c r="I121" s="124"/>
      <c r="J121" s="124"/>
      <c r="L121" s="17" t="s">
        <v>48</v>
      </c>
      <c r="M121" s="71">
        <f>[1]!b_stm07_bs(K107,95,L107,1)</f>
        <v>13310025964.280001</v>
      </c>
    </row>
    <row r="122" spans="1:21" ht="14.25" customHeight="1" x14ac:dyDescent="0.25">
      <c r="A122" s="54" t="s">
        <v>88</v>
      </c>
      <c r="B122" s="73">
        <f t="shared" si="1"/>
        <v>23.655351743800001</v>
      </c>
      <c r="C122" s="54" t="s">
        <v>89</v>
      </c>
      <c r="D122" s="76">
        <f t="shared" si="2"/>
        <v>7.4787425084999999</v>
      </c>
      <c r="E122" s="131" t="s">
        <v>90</v>
      </c>
      <c r="F122" s="124"/>
      <c r="G122" s="124"/>
      <c r="H122" s="133">
        <f t="shared" si="3"/>
        <v>414.82422354669995</v>
      </c>
      <c r="I122" s="124"/>
      <c r="J122" s="124"/>
      <c r="L122" s="17"/>
      <c r="M122" s="17"/>
    </row>
    <row r="123" spans="1:21" ht="14.25" customHeight="1" x14ac:dyDescent="0.25">
      <c r="A123" s="54" t="s">
        <v>91</v>
      </c>
      <c r="B123" s="79">
        <f t="shared" si="1"/>
        <v>847.52370665710009</v>
      </c>
      <c r="C123" s="54" t="s">
        <v>92</v>
      </c>
      <c r="D123" s="76">
        <f t="shared" si="2"/>
        <v>8.0499766226999991</v>
      </c>
      <c r="E123" s="131" t="s">
        <v>93</v>
      </c>
      <c r="F123" s="124"/>
      <c r="G123" s="124"/>
      <c r="H123" s="133">
        <f t="shared" si="3"/>
        <v>38.924904073899995</v>
      </c>
      <c r="I123" s="124"/>
      <c r="J123" s="124"/>
      <c r="L123" s="17" t="s">
        <v>49</v>
      </c>
      <c r="M123" s="71">
        <f>[1]!b_stm07_bs(K107,141,L107,1)</f>
        <v>13571709203.01</v>
      </c>
    </row>
    <row r="124" spans="1:21" ht="14.25" customHeight="1" x14ac:dyDescent="0.25">
      <c r="A124" s="54" t="s">
        <v>94</v>
      </c>
      <c r="B124" s="73">
        <f t="shared" si="1"/>
        <v>91.438348604699996</v>
      </c>
      <c r="C124" s="54" t="s">
        <v>95</v>
      </c>
      <c r="D124" s="76">
        <f t="shared" si="2"/>
        <v>7.128256801</v>
      </c>
      <c r="E124" s="131" t="s">
        <v>96</v>
      </c>
      <c r="F124" s="124"/>
      <c r="G124" s="124"/>
      <c r="H124" s="133">
        <f t="shared" si="3"/>
        <v>-6.8028536855999997</v>
      </c>
      <c r="I124" s="124"/>
      <c r="J124" s="124"/>
      <c r="L124" s="17"/>
      <c r="M124" s="17"/>
    </row>
    <row r="125" spans="1:21" ht="27" customHeight="1" x14ac:dyDescent="0.25">
      <c r="A125" s="54" t="s">
        <v>97</v>
      </c>
      <c r="B125" s="73">
        <f t="shared" si="1"/>
        <v>48.334289281099998</v>
      </c>
      <c r="C125" s="54" t="s">
        <v>39</v>
      </c>
      <c r="D125" s="76">
        <f t="shared" si="2"/>
        <v>3.6998887529000002</v>
      </c>
      <c r="E125" s="131" t="s">
        <v>98</v>
      </c>
      <c r="F125" s="124"/>
      <c r="G125" s="124"/>
      <c r="H125" s="132">
        <f t="shared" si="3"/>
        <v>0.14349999999999999</v>
      </c>
      <c r="I125" s="124"/>
      <c r="J125" s="124"/>
      <c r="L125" s="17"/>
      <c r="M125" s="17"/>
    </row>
    <row r="126" spans="1:21" ht="16.5" customHeight="1" x14ac:dyDescent="0.25">
      <c r="A126" s="54" t="s">
        <v>99</v>
      </c>
      <c r="B126" s="73">
        <f t="shared" si="1"/>
        <v>0</v>
      </c>
      <c r="C126" s="54"/>
      <c r="D126" s="80"/>
      <c r="E126" s="131" t="s">
        <v>100</v>
      </c>
      <c r="F126" s="124"/>
      <c r="G126" s="124"/>
      <c r="H126" s="132">
        <f t="shared" si="3"/>
        <v>198.12204858929999</v>
      </c>
      <c r="I126" s="124"/>
      <c r="J126" s="124"/>
      <c r="L126" s="134" t="s">
        <v>70</v>
      </c>
      <c r="M126" s="124"/>
      <c r="N126" s="134" t="s">
        <v>71</v>
      </c>
      <c r="O126" s="124"/>
      <c r="P126" s="125" t="s">
        <v>72</v>
      </c>
      <c r="Q126" s="124"/>
      <c r="R126" s="124"/>
      <c r="S126" s="135"/>
      <c r="T126" s="135"/>
      <c r="U126" s="135"/>
    </row>
    <row r="127" spans="1:21" ht="14.25" customHeight="1" x14ac:dyDescent="0.25">
      <c r="A127" s="54" t="s">
        <v>101</v>
      </c>
      <c r="B127" s="73">
        <f t="shared" si="1"/>
        <v>80.537234029200008</v>
      </c>
      <c r="C127" s="54"/>
      <c r="D127" s="80"/>
      <c r="E127" s="131" t="s">
        <v>102</v>
      </c>
      <c r="F127" s="124"/>
      <c r="G127" s="124"/>
      <c r="H127" s="132">
        <f t="shared" si="3"/>
        <v>226</v>
      </c>
      <c r="I127" s="124"/>
      <c r="J127" s="124"/>
      <c r="L127" s="54" t="s">
        <v>73</v>
      </c>
      <c r="M127" s="75">
        <f>[1]!b_stm07_bs(K107,9,L107,1)</f>
        <v>6163303124.2799997</v>
      </c>
      <c r="N127" s="54" t="s">
        <v>74</v>
      </c>
      <c r="O127" s="75">
        <f>[1]!b_stm07_is(K107,83,L107,1)</f>
        <v>36557625176.379997</v>
      </c>
      <c r="P127" s="131" t="s">
        <v>75</v>
      </c>
      <c r="Q127" s="124"/>
      <c r="R127" s="124"/>
      <c r="S127" s="136">
        <f>[1]!b_stm07_cs(K107,9,L107,1)</f>
        <v>39871746692.019997</v>
      </c>
      <c r="T127" s="135"/>
      <c r="U127" s="135"/>
    </row>
    <row r="128" spans="1:21" ht="14.25" customHeight="1" x14ac:dyDescent="0.25">
      <c r="A128" s="54" t="s">
        <v>103</v>
      </c>
      <c r="B128" s="73">
        <f t="shared" si="1"/>
        <v>133.10025964280001</v>
      </c>
      <c r="C128" s="54"/>
      <c r="D128" s="80"/>
      <c r="E128" s="131" t="s">
        <v>104</v>
      </c>
      <c r="F128" s="124"/>
      <c r="G128" s="124"/>
      <c r="H128" s="133">
        <f t="shared" si="3"/>
        <v>427.68874519190001</v>
      </c>
      <c r="I128" s="124"/>
      <c r="J128" s="124"/>
      <c r="L128" s="54" t="s">
        <v>76</v>
      </c>
      <c r="M128" s="75">
        <f>[1]!b_stm07_bs(K107,12,L107,1)</f>
        <v>581946269.01999998</v>
      </c>
      <c r="N128" s="54" t="s">
        <v>77</v>
      </c>
      <c r="O128" s="75">
        <f>[1]!b_stm07_is(K107,84,L107,1)</f>
        <v>36146815693.690002</v>
      </c>
      <c r="P128" s="131" t="s">
        <v>78</v>
      </c>
      <c r="Q128" s="124"/>
      <c r="R128" s="124"/>
      <c r="S128" s="136">
        <f>[1]!b_stm07_cs(K107,11,L107,1)</f>
        <v>5234580024.8100004</v>
      </c>
      <c r="T128" s="135"/>
      <c r="U128" s="135"/>
    </row>
    <row r="129" spans="1:21" ht="14.25" customHeight="1" x14ac:dyDescent="0.25">
      <c r="A129" s="54" t="s">
        <v>105</v>
      </c>
      <c r="B129" s="79">
        <f t="shared" si="1"/>
        <v>711.80661462699993</v>
      </c>
      <c r="C129" s="14"/>
      <c r="D129" s="13"/>
      <c r="E129" s="131" t="s">
        <v>106</v>
      </c>
      <c r="F129" s="124"/>
      <c r="G129" s="124"/>
      <c r="H129" s="132">
        <f t="shared" si="3"/>
        <v>443.97821065010004</v>
      </c>
      <c r="I129" s="124"/>
      <c r="J129" s="124"/>
      <c r="L129" s="54" t="s">
        <v>79</v>
      </c>
      <c r="M129" s="75">
        <f>[1]!b_stm07_bs(K107,13,L107,1)</f>
        <v>6764110669.9300003</v>
      </c>
      <c r="N129" s="54" t="s">
        <v>80</v>
      </c>
      <c r="O129" s="75">
        <f>[1]!b_stm07_is(K107,10,L107,1)</f>
        <v>29428758342.02</v>
      </c>
      <c r="P129" s="131" t="s">
        <v>81</v>
      </c>
      <c r="Q129" s="124"/>
      <c r="R129" s="124"/>
      <c r="S129" s="137">
        <f>[1]!b_stm07_cs(K107,25,L107,1)</f>
        <v>45374912762.059998</v>
      </c>
      <c r="T129" s="135"/>
      <c r="U129" s="135"/>
    </row>
    <row r="130" spans="1:21" ht="14.25" customHeight="1" x14ac:dyDescent="0.25">
      <c r="A130" s="54" t="s">
        <v>107</v>
      </c>
      <c r="B130" s="79">
        <f t="shared" si="1"/>
        <v>135.71709203009999</v>
      </c>
      <c r="C130" s="14"/>
      <c r="D130" s="13"/>
      <c r="E130" s="131" t="s">
        <v>108</v>
      </c>
      <c r="F130" s="124"/>
      <c r="G130" s="124"/>
      <c r="H130" s="132">
        <f t="shared" si="3"/>
        <v>469.216716701</v>
      </c>
      <c r="I130" s="124"/>
      <c r="J130" s="124"/>
      <c r="L130" s="54" t="s">
        <v>82</v>
      </c>
      <c r="M130" s="75">
        <f>[1]!b_stm07_bs(K107,31,L107,1)</f>
        <v>8658192870.1800003</v>
      </c>
      <c r="N130" s="54" t="s">
        <v>83</v>
      </c>
      <c r="O130" s="75">
        <f>[1]!b_stm07_is(K107,12,L107,1)</f>
        <v>3869248739.46</v>
      </c>
      <c r="P130" s="131" t="s">
        <v>84</v>
      </c>
      <c r="Q130" s="124"/>
      <c r="R130" s="124"/>
      <c r="S130" s="136">
        <f>[1]!b_stm07_cs(K107,26,L107,1)</f>
        <v>32576554696.73</v>
      </c>
      <c r="T130" s="135"/>
      <c r="U130" s="135"/>
    </row>
    <row r="131" spans="1:21" ht="14.25" customHeight="1" x14ac:dyDescent="0.25">
      <c r="A131" s="15" t="s">
        <v>109</v>
      </c>
      <c r="B131" s="79">
        <f t="shared" si="1"/>
        <v>847.52370665710009</v>
      </c>
      <c r="C131" s="14"/>
      <c r="D131" s="13"/>
      <c r="E131" s="131" t="s">
        <v>110</v>
      </c>
      <c r="F131" s="124"/>
      <c r="G131" s="124"/>
      <c r="H131" s="133">
        <f t="shared" si="3"/>
        <v>-41.527971509099999</v>
      </c>
      <c r="I131" s="124"/>
      <c r="J131" s="124"/>
      <c r="L131" s="54" t="s">
        <v>85</v>
      </c>
      <c r="M131" s="75">
        <f>[1]!b_stm07_bs(K107,33,L107,1)</f>
        <v>1179008366.8199999</v>
      </c>
      <c r="N131" s="54" t="s">
        <v>86</v>
      </c>
      <c r="O131" s="75">
        <f>[1]!b_stm07_is(K107,13,L107,1)</f>
        <v>1236838224.8800001</v>
      </c>
      <c r="P131" s="131" t="s">
        <v>87</v>
      </c>
      <c r="Q131" s="124"/>
      <c r="R131" s="124"/>
      <c r="S131" s="136">
        <f>[1]!b_stm07_cs(K107,29,L107,1)</f>
        <v>3265419630.8499999</v>
      </c>
      <c r="T131" s="135"/>
      <c r="U131" s="135"/>
    </row>
    <row r="132" spans="1:21" x14ac:dyDescent="0.25">
      <c r="L132" s="54" t="s">
        <v>88</v>
      </c>
      <c r="M132" s="75">
        <f>[1]!b_stm07_bs(K107,37,L107,1)</f>
        <v>2365535174.3800001</v>
      </c>
      <c r="N132" s="54" t="s">
        <v>89</v>
      </c>
      <c r="O132" s="75">
        <f>[1]!b_stm07_is(K107,14,L107,1)</f>
        <v>747874250.85000002</v>
      </c>
      <c r="P132" s="131" t="s">
        <v>90</v>
      </c>
      <c r="Q132" s="124"/>
      <c r="R132" s="124"/>
      <c r="S132" s="137">
        <f>[1]!b_stm07_cs(K107,37,L107,1)</f>
        <v>41482422354.669998</v>
      </c>
      <c r="T132" s="135"/>
      <c r="U132" s="135"/>
    </row>
    <row r="133" spans="1:21" x14ac:dyDescent="0.25">
      <c r="L133" s="54" t="s">
        <v>91</v>
      </c>
      <c r="M133" s="81">
        <f>[1]!b_stm07_bs(K107,74,L107,1)</f>
        <v>84752370665.710007</v>
      </c>
      <c r="N133" s="54" t="s">
        <v>92</v>
      </c>
      <c r="O133" s="75">
        <f>[1]!b_stm07_is(K107,48,L107,1)</f>
        <v>804997662.26999998</v>
      </c>
      <c r="P133" s="131" t="s">
        <v>93</v>
      </c>
      <c r="Q133" s="124"/>
      <c r="R133" s="124"/>
      <c r="S133" s="137">
        <f>[1]!b_stm07_cs(K107,39,L107,1)</f>
        <v>3892490407.3899999</v>
      </c>
      <c r="T133" s="135"/>
      <c r="U133" s="135"/>
    </row>
    <row r="134" spans="1:21" x14ac:dyDescent="0.25">
      <c r="L134" s="54" t="s">
        <v>94</v>
      </c>
      <c r="M134" s="75">
        <f>[1]!b_stm07_bs(K107,75,L107,1)</f>
        <v>9143834860.4699993</v>
      </c>
      <c r="N134" s="54" t="s">
        <v>95</v>
      </c>
      <c r="O134" s="75">
        <f>[1]!b_stm07_is(K107,55,L107,1)</f>
        <v>712825680.10000002</v>
      </c>
      <c r="P134" s="131" t="s">
        <v>96</v>
      </c>
      <c r="Q134" s="124"/>
      <c r="R134" s="124"/>
      <c r="S134" s="137">
        <f>[1]!b_stm07_cs(K107,59,L107,1)</f>
        <v>-680285368.55999994</v>
      </c>
      <c r="T134" s="135"/>
      <c r="U134" s="135"/>
    </row>
    <row r="135" spans="1:21" ht="32.4" customHeight="1" x14ac:dyDescent="0.25">
      <c r="L135" s="54" t="s">
        <v>97</v>
      </c>
      <c r="M135" s="75">
        <f>[1]!b_stm07_bs(K107,88,L107,1)</f>
        <v>4833428928.1099997</v>
      </c>
      <c r="N135" s="54" t="s">
        <v>39</v>
      </c>
      <c r="O135" s="75">
        <f>[1]!b_stm07_is(K107,60,L107,1)</f>
        <v>369988875.29000002</v>
      </c>
      <c r="P135" s="131" t="s">
        <v>98</v>
      </c>
      <c r="Q135" s="124"/>
      <c r="R135" s="124"/>
      <c r="S135" s="136">
        <f>[1]!b_stm07_cs(K107,60,L107,1)</f>
        <v>14350000</v>
      </c>
      <c r="T135" s="135"/>
      <c r="U135" s="135"/>
    </row>
    <row r="136" spans="1:21" ht="21.6" customHeight="1" x14ac:dyDescent="0.25">
      <c r="L136" s="54" t="s">
        <v>99</v>
      </c>
      <c r="M136" s="75">
        <f>[1]!b_stm07_bs(K107,147,L107,1)</f>
        <v>0</v>
      </c>
      <c r="N136" s="54"/>
      <c r="O136" s="80"/>
      <c r="P136" s="131" t="s">
        <v>100</v>
      </c>
      <c r="Q136" s="124"/>
      <c r="R136" s="124"/>
      <c r="S136" s="136">
        <f>[1]!b_stm07_cs(K107,61,L107,1)</f>
        <v>19812204858.93</v>
      </c>
      <c r="T136" s="135"/>
      <c r="U136" s="135"/>
    </row>
    <row r="137" spans="1:21" x14ac:dyDescent="0.25">
      <c r="L137" s="54" t="s">
        <v>101</v>
      </c>
      <c r="M137" s="75">
        <f>[1]!b_stm07_bs(K107,94,L107,1)</f>
        <v>8053723402.9200001</v>
      </c>
      <c r="N137" s="54"/>
      <c r="O137" s="80"/>
      <c r="P137" s="131" t="s">
        <v>102</v>
      </c>
      <c r="Q137" s="124"/>
      <c r="R137" s="124"/>
      <c r="S137" s="136">
        <f>[1]!b_stm07_cs(K107,63,L107,1)</f>
        <v>22600000000</v>
      </c>
      <c r="T137" s="135"/>
      <c r="U137" s="135"/>
    </row>
    <row r="138" spans="1:21" x14ac:dyDescent="0.25">
      <c r="L138" s="54" t="s">
        <v>103</v>
      </c>
      <c r="M138" s="75">
        <f>[1]!b_stm07_bs(K107,95,L107,1)</f>
        <v>13310025964.280001</v>
      </c>
      <c r="N138" s="54"/>
      <c r="O138" s="80"/>
      <c r="P138" s="131" t="s">
        <v>104</v>
      </c>
      <c r="Q138" s="124"/>
      <c r="R138" s="124"/>
      <c r="S138" s="137">
        <f>[1]!b_stm07_cs(K107,68,L107,1)</f>
        <v>42768874519.190002</v>
      </c>
      <c r="T138" s="135"/>
      <c r="U138" s="135"/>
    </row>
    <row r="139" spans="1:21" x14ac:dyDescent="0.25">
      <c r="L139" s="54" t="s">
        <v>105</v>
      </c>
      <c r="M139" s="81">
        <f>[1]!b_stm07_bs(K107,128,L107,1)</f>
        <v>71180661462.699997</v>
      </c>
      <c r="N139" s="14"/>
      <c r="O139" s="13"/>
      <c r="P139" s="131" t="s">
        <v>106</v>
      </c>
      <c r="Q139" s="124"/>
      <c r="R139" s="124"/>
      <c r="S139" s="136">
        <f>[1]!b_stm07_cs(K107,69,L107,1)</f>
        <v>44397821065.010002</v>
      </c>
      <c r="T139" s="135"/>
      <c r="U139" s="135"/>
    </row>
    <row r="140" spans="1:21" ht="21.6" customHeight="1" x14ac:dyDescent="0.25">
      <c r="L140" s="54" t="s">
        <v>107</v>
      </c>
      <c r="M140" s="81">
        <f>[1]!b_stm07_bs(K107,141,L107,1)</f>
        <v>13571709203.01</v>
      </c>
      <c r="N140" s="14"/>
      <c r="O140" s="13"/>
      <c r="P140" s="131" t="s">
        <v>108</v>
      </c>
      <c r="Q140" s="124"/>
      <c r="R140" s="124"/>
      <c r="S140" s="136">
        <f>[1]!b_stm07_cs(K107,75,L107,1)</f>
        <v>46921671670.099998</v>
      </c>
      <c r="T140" s="135"/>
      <c r="U140" s="135"/>
    </row>
    <row r="141" spans="1:21" ht="21.6" customHeight="1" x14ac:dyDescent="0.25">
      <c r="L141" s="15" t="s">
        <v>109</v>
      </c>
      <c r="M141" s="81">
        <f>[1]!b_stm07_bs(K107,145,L107,1)</f>
        <v>84752370665.710007</v>
      </c>
      <c r="N141" s="14"/>
      <c r="O141" s="13"/>
      <c r="P141" s="131" t="s">
        <v>110</v>
      </c>
      <c r="Q141" s="124"/>
      <c r="R141" s="124"/>
      <c r="S141" s="137">
        <f>[1]!b_stm07_cs(K107,77,L107,1)</f>
        <v>-4152797150.9099998</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517</v>
      </c>
      <c r="C2" s="120"/>
      <c r="D2" s="57" t="s">
        <v>3</v>
      </c>
      <c r="E2" s="119" t="s">
        <v>518</v>
      </c>
      <c r="F2" s="120"/>
      <c r="G2" s="120"/>
    </row>
    <row r="3" spans="1:12" ht="14.25" customHeight="1" x14ac:dyDescent="0.25">
      <c r="A3" s="57" t="s">
        <v>4</v>
      </c>
      <c r="B3" s="119" t="s">
        <v>519</v>
      </c>
      <c r="C3" s="120"/>
      <c r="D3" s="57" t="s">
        <v>5</v>
      </c>
      <c r="E3" s="119" t="s">
        <v>520</v>
      </c>
      <c r="F3" s="120"/>
      <c r="G3" s="120"/>
    </row>
    <row r="4" spans="1:12" ht="113.25" customHeight="1" x14ac:dyDescent="0.25">
      <c r="A4" s="57" t="s">
        <v>6</v>
      </c>
      <c r="B4" s="121" t="s">
        <v>521</v>
      </c>
      <c r="C4" s="120"/>
      <c r="D4" s="120"/>
      <c r="E4" s="120"/>
      <c r="F4" s="120"/>
      <c r="G4" s="120"/>
    </row>
    <row r="5" spans="1:12" ht="14.4" x14ac:dyDescent="0.25">
      <c r="A5" s="82" t="s">
        <v>111</v>
      </c>
      <c r="B5" s="140" t="s">
        <v>522</v>
      </c>
      <c r="C5" s="120"/>
      <c r="D5" s="120"/>
      <c r="E5" s="120"/>
      <c r="F5" s="141">
        <v>0.7</v>
      </c>
      <c r="G5" s="120"/>
    </row>
    <row r="6" spans="1:12" ht="11.25" customHeight="1" x14ac:dyDescent="0.25">
      <c r="A6" s="82" t="s">
        <v>112</v>
      </c>
      <c r="B6" s="140" t="s">
        <v>523</v>
      </c>
      <c r="C6" s="120"/>
      <c r="D6" s="120"/>
      <c r="E6" s="120"/>
      <c r="F6" s="141">
        <v>0.2</v>
      </c>
      <c r="G6" s="120"/>
    </row>
    <row r="7" spans="1:12" ht="11.25" customHeight="1" x14ac:dyDescent="0.25">
      <c r="A7" s="82" t="s">
        <v>113</v>
      </c>
      <c r="B7" s="140" t="s">
        <v>524</v>
      </c>
      <c r="C7" s="120"/>
      <c r="D7" s="120"/>
      <c r="E7" s="120"/>
      <c r="F7" s="141">
        <v>0.1</v>
      </c>
      <c r="G7" s="120"/>
    </row>
    <row r="8" spans="1:12" ht="11.25" customHeight="1" x14ac:dyDescent="0.25">
      <c r="A8" s="82" t="s">
        <v>114</v>
      </c>
      <c r="B8" s="140" t="s">
        <v>525</v>
      </c>
      <c r="C8" s="120"/>
      <c r="D8" s="120"/>
      <c r="E8" s="120"/>
      <c r="F8" s="141" t="s">
        <v>525</v>
      </c>
      <c r="G8" s="120"/>
    </row>
    <row r="9" spans="1:12" ht="11.25" customHeight="1" x14ac:dyDescent="0.25">
      <c r="A9" s="82" t="s">
        <v>115</v>
      </c>
      <c r="B9" s="140" t="s">
        <v>525</v>
      </c>
      <c r="C9" s="120"/>
      <c r="D9" s="120"/>
      <c r="E9" s="120"/>
      <c r="F9" s="141" t="s">
        <v>525</v>
      </c>
      <c r="G9" s="120"/>
    </row>
    <row r="11" spans="1:12" ht="14.4" customHeight="1" x14ac:dyDescent="0.25">
      <c r="A11" s="142" t="s">
        <v>116</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117</v>
      </c>
      <c r="B13" t="s">
        <v>118</v>
      </c>
      <c r="C13" t="s">
        <v>119</v>
      </c>
      <c r="D13" s="64">
        <v>6.49</v>
      </c>
      <c r="E13" s="64">
        <v>0.22739726027397261</v>
      </c>
      <c r="F13" s="65">
        <v>0</v>
      </c>
      <c r="G13" s="64">
        <v>10</v>
      </c>
    </row>
    <row r="14" spans="1:12" ht="14.4" customHeight="1" x14ac:dyDescent="0.25">
      <c r="A14" t="s">
        <v>120</v>
      </c>
      <c r="B14" t="s">
        <v>121</v>
      </c>
      <c r="C14" t="s">
        <v>122</v>
      </c>
      <c r="D14" s="64">
        <v>6.49</v>
      </c>
      <c r="E14" s="83">
        <v>0.43013698630136987</v>
      </c>
      <c r="F14">
        <v>0</v>
      </c>
      <c r="G14" s="64">
        <v>5</v>
      </c>
    </row>
    <row r="15" spans="1:12" ht="14.4" customHeight="1" x14ac:dyDescent="0.25">
      <c r="A15" t="s">
        <v>123</v>
      </c>
      <c r="B15" t="s">
        <v>124</v>
      </c>
      <c r="C15" t="s">
        <v>125</v>
      </c>
      <c r="D15" s="64">
        <v>6.6</v>
      </c>
      <c r="E15" s="83">
        <v>0.15068493150684931</v>
      </c>
      <c r="F15">
        <v>0</v>
      </c>
      <c r="G15" s="64">
        <v>5</v>
      </c>
    </row>
    <row r="16" spans="1:12" ht="14.4" customHeight="1" x14ac:dyDescent="0.25">
      <c r="A16" t="s">
        <v>126</v>
      </c>
      <c r="B16" t="s">
        <v>127</v>
      </c>
      <c r="C16" t="s">
        <v>128</v>
      </c>
      <c r="D16" s="64">
        <v>7.5</v>
      </c>
      <c r="E16" s="83">
        <v>2.7013698630136984</v>
      </c>
      <c r="F16" t="s">
        <v>25</v>
      </c>
      <c r="G16" s="64">
        <v>10</v>
      </c>
    </row>
    <row r="17" spans="1:7" ht="14.4" customHeight="1" x14ac:dyDescent="0.25">
      <c r="A17" t="s">
        <v>129</v>
      </c>
      <c r="B17" t="s">
        <v>130</v>
      </c>
      <c r="C17" t="s">
        <v>131</v>
      </c>
      <c r="D17" s="64">
        <v>7.5</v>
      </c>
      <c r="E17" s="83">
        <v>2.6849315068493151</v>
      </c>
      <c r="F17" t="s">
        <v>25</v>
      </c>
      <c r="G17" s="64">
        <v>6.4</v>
      </c>
    </row>
    <row r="18" spans="1:7" ht="14.4" customHeight="1" x14ac:dyDescent="0.25">
      <c r="A18" t="s">
        <v>132</v>
      </c>
      <c r="B18" t="s">
        <v>130</v>
      </c>
      <c r="C18" t="s">
        <v>133</v>
      </c>
      <c r="D18" s="64">
        <v>6.85</v>
      </c>
      <c r="E18" s="83">
        <v>0.42465753424657532</v>
      </c>
      <c r="F18">
        <v>0</v>
      </c>
      <c r="G18" s="64">
        <v>12</v>
      </c>
    </row>
    <row r="19" spans="1:7" ht="14.4" customHeight="1" x14ac:dyDescent="0.25">
      <c r="A19" t="s">
        <v>134</v>
      </c>
      <c r="B19" t="s">
        <v>135</v>
      </c>
      <c r="C19" t="s">
        <v>136</v>
      </c>
      <c r="D19" s="64">
        <v>6.99</v>
      </c>
      <c r="E19" s="83">
        <v>0.68219178082191778</v>
      </c>
      <c r="F19" t="s">
        <v>526</v>
      </c>
      <c r="G19" s="64">
        <v>8</v>
      </c>
    </row>
    <row r="20" spans="1:7" ht="14.4" customHeight="1" x14ac:dyDescent="0.25">
      <c r="A20" t="s">
        <v>137</v>
      </c>
      <c r="B20" t="s">
        <v>138</v>
      </c>
      <c r="C20" t="s">
        <v>139</v>
      </c>
      <c r="D20" s="64">
        <v>7.8</v>
      </c>
      <c r="E20" s="83">
        <v>2.6739726027397261</v>
      </c>
      <c r="F20" t="s">
        <v>25</v>
      </c>
      <c r="G20" s="64">
        <v>6</v>
      </c>
    </row>
    <row r="21" spans="1:7" ht="14.4" customHeight="1" x14ac:dyDescent="0.25">
      <c r="A21" t="s">
        <v>140</v>
      </c>
      <c r="B21" t="s">
        <v>141</v>
      </c>
      <c r="C21" t="s">
        <v>142</v>
      </c>
      <c r="D21" s="64">
        <v>6.85</v>
      </c>
      <c r="E21" s="83">
        <v>0</v>
      </c>
      <c r="F21">
        <v>0</v>
      </c>
      <c r="G21" s="64">
        <v>5</v>
      </c>
    </row>
    <row r="22" spans="1:7" ht="14.4" customHeight="1" x14ac:dyDescent="0.25">
      <c r="A22" t="s">
        <v>143</v>
      </c>
      <c r="B22" t="s">
        <v>144</v>
      </c>
      <c r="C22" t="s">
        <v>145</v>
      </c>
      <c r="D22" s="64">
        <v>7.8</v>
      </c>
      <c r="E22" s="83">
        <v>2.5972602739726027</v>
      </c>
      <c r="F22" t="s">
        <v>25</v>
      </c>
      <c r="G22" s="64">
        <v>9</v>
      </c>
    </row>
    <row r="23" spans="1:7" ht="14.4" customHeight="1" x14ac:dyDescent="0.25">
      <c r="A23" t="s">
        <v>146</v>
      </c>
      <c r="B23" t="s">
        <v>147</v>
      </c>
      <c r="C23" t="s">
        <v>148</v>
      </c>
      <c r="D23" s="64">
        <v>7.5</v>
      </c>
      <c r="E23" s="83">
        <v>2.5972602739726027</v>
      </c>
      <c r="F23" t="s">
        <v>25</v>
      </c>
      <c r="G23" s="64">
        <v>14</v>
      </c>
    </row>
    <row r="24" spans="1:7" ht="14.4" customHeight="1" x14ac:dyDescent="0.25">
      <c r="A24" t="s">
        <v>149</v>
      </c>
      <c r="B24" t="s">
        <v>150</v>
      </c>
      <c r="C24" t="s">
        <v>151</v>
      </c>
      <c r="D24" s="64">
        <v>6.99</v>
      </c>
      <c r="E24" s="83">
        <v>0.56986301369863013</v>
      </c>
      <c r="F24" t="s">
        <v>526</v>
      </c>
      <c r="G24" s="64">
        <v>14</v>
      </c>
    </row>
    <row r="25" spans="1:7" ht="14.4" customHeight="1" x14ac:dyDescent="0.25">
      <c r="A25" t="s">
        <v>152</v>
      </c>
      <c r="B25" t="s">
        <v>153</v>
      </c>
      <c r="C25" t="s">
        <v>154</v>
      </c>
      <c r="D25" s="64">
        <v>6.85</v>
      </c>
      <c r="E25" s="83">
        <v>0</v>
      </c>
      <c r="F25">
        <v>0</v>
      </c>
      <c r="G25" s="64">
        <v>5</v>
      </c>
    </row>
    <row r="26" spans="1:7" ht="14.4" customHeight="1" x14ac:dyDescent="0.25">
      <c r="A26" t="s">
        <v>155</v>
      </c>
      <c r="B26" t="s">
        <v>156</v>
      </c>
      <c r="C26" t="s">
        <v>157</v>
      </c>
      <c r="D26" s="64">
        <v>7.2</v>
      </c>
      <c r="E26" s="83">
        <v>0</v>
      </c>
      <c r="F26">
        <v>0</v>
      </c>
      <c r="G26" s="64">
        <v>5</v>
      </c>
    </row>
    <row r="27" spans="1:7" ht="14.4" customHeight="1" x14ac:dyDescent="0.25">
      <c r="A27" t="s">
        <v>158</v>
      </c>
      <c r="B27" t="s">
        <v>159</v>
      </c>
      <c r="C27" t="s">
        <v>160</v>
      </c>
      <c r="D27" s="64">
        <v>6.9</v>
      </c>
      <c r="E27" s="83">
        <v>0</v>
      </c>
      <c r="F27">
        <v>0</v>
      </c>
      <c r="G27" s="64">
        <v>5</v>
      </c>
    </row>
    <row r="28" spans="1:7" ht="14.4" customHeight="1" x14ac:dyDescent="0.25">
      <c r="A28" t="s">
        <v>161</v>
      </c>
      <c r="B28" t="s">
        <v>162</v>
      </c>
      <c r="C28" t="s">
        <v>163</v>
      </c>
      <c r="D28" s="64">
        <v>7.2</v>
      </c>
      <c r="E28" s="83">
        <v>1.0958904109589041E-2</v>
      </c>
      <c r="F28">
        <v>0</v>
      </c>
      <c r="G28" s="64">
        <v>3</v>
      </c>
    </row>
    <row r="29" spans="1:7" ht="14.4" customHeight="1" x14ac:dyDescent="0.25">
      <c r="A29" t="s">
        <v>164</v>
      </c>
      <c r="B29" t="s">
        <v>165</v>
      </c>
      <c r="C29" t="s">
        <v>166</v>
      </c>
      <c r="D29" s="64">
        <v>7</v>
      </c>
      <c r="E29" s="83">
        <v>1.2904109589041095</v>
      </c>
      <c r="F29" t="s">
        <v>25</v>
      </c>
      <c r="G29" s="64">
        <v>1</v>
      </c>
    </row>
    <row r="30" spans="1:7" ht="14.4" customHeight="1" x14ac:dyDescent="0.25">
      <c r="A30" t="s">
        <v>167</v>
      </c>
      <c r="B30" t="s">
        <v>168</v>
      </c>
      <c r="C30" t="s">
        <v>169</v>
      </c>
      <c r="D30" s="64">
        <v>7.1</v>
      </c>
      <c r="E30" s="83">
        <v>0</v>
      </c>
      <c r="F30">
        <v>0</v>
      </c>
      <c r="G30" s="64">
        <v>6</v>
      </c>
    </row>
    <row r="31" spans="1:7" ht="14.4" customHeight="1" x14ac:dyDescent="0.25">
      <c r="A31" t="s">
        <v>170</v>
      </c>
      <c r="B31" t="s">
        <v>171</v>
      </c>
      <c r="C31" t="s">
        <v>172</v>
      </c>
      <c r="D31" s="64">
        <v>7.2</v>
      </c>
      <c r="E31" s="83">
        <v>0</v>
      </c>
      <c r="F31">
        <v>0</v>
      </c>
      <c r="G31" s="64">
        <v>5</v>
      </c>
    </row>
    <row r="32" spans="1:7" ht="14.4" customHeight="1" x14ac:dyDescent="0.25">
      <c r="A32" t="s">
        <v>173</v>
      </c>
      <c r="B32" t="s">
        <v>174</v>
      </c>
      <c r="C32" t="s">
        <v>175</v>
      </c>
      <c r="D32" s="64">
        <v>7.2</v>
      </c>
      <c r="E32" s="83">
        <v>0</v>
      </c>
      <c r="F32">
        <v>0</v>
      </c>
      <c r="G32" s="64">
        <v>10</v>
      </c>
    </row>
    <row r="33" spans="1:7" ht="14.4" customHeight="1" x14ac:dyDescent="0.25">
      <c r="A33" t="s">
        <v>176</v>
      </c>
      <c r="B33" t="s">
        <v>177</v>
      </c>
      <c r="C33" t="s">
        <v>178</v>
      </c>
      <c r="D33" s="64">
        <v>6.78</v>
      </c>
      <c r="E33" s="83">
        <v>0</v>
      </c>
      <c r="F33">
        <v>0</v>
      </c>
      <c r="G33" s="64">
        <v>6</v>
      </c>
    </row>
    <row r="34" spans="1:7" ht="14.4" customHeight="1" x14ac:dyDescent="0.25">
      <c r="A34" t="s">
        <v>179</v>
      </c>
      <c r="B34" t="s">
        <v>180</v>
      </c>
      <c r="C34" t="s">
        <v>181</v>
      </c>
      <c r="D34" s="64">
        <v>6.9</v>
      </c>
      <c r="E34" s="83">
        <v>0</v>
      </c>
      <c r="F34">
        <v>0</v>
      </c>
      <c r="G34" s="64">
        <v>10</v>
      </c>
    </row>
    <row r="35" spans="1:7" ht="14.4" customHeight="1" x14ac:dyDescent="0.25">
      <c r="A35" t="s">
        <v>182</v>
      </c>
      <c r="B35" t="s">
        <v>183</v>
      </c>
      <c r="C35" t="s">
        <v>184</v>
      </c>
      <c r="D35" s="64">
        <v>6.65</v>
      </c>
      <c r="E35" s="83">
        <v>0</v>
      </c>
      <c r="F35">
        <v>0</v>
      </c>
      <c r="G35" s="64">
        <v>5</v>
      </c>
    </row>
    <row r="36" spans="1:7" ht="14.4" customHeight="1" x14ac:dyDescent="0.25">
      <c r="A36" t="s">
        <v>185</v>
      </c>
      <c r="B36" t="s">
        <v>186</v>
      </c>
      <c r="C36" t="s">
        <v>187</v>
      </c>
      <c r="D36" s="64">
        <v>6.3</v>
      </c>
      <c r="E36" s="83">
        <v>0</v>
      </c>
      <c r="F36">
        <v>0</v>
      </c>
      <c r="G36" s="64">
        <v>8</v>
      </c>
    </row>
    <row r="37" spans="1:7" ht="14.4" customHeight="1" x14ac:dyDescent="0.25">
      <c r="A37" t="s">
        <v>188</v>
      </c>
      <c r="B37" t="s">
        <v>189</v>
      </c>
      <c r="C37" t="s">
        <v>190</v>
      </c>
      <c r="D37" s="64">
        <v>7</v>
      </c>
      <c r="E37" s="83">
        <v>0</v>
      </c>
      <c r="F37" t="s">
        <v>526</v>
      </c>
      <c r="G37" s="64">
        <v>6</v>
      </c>
    </row>
    <row r="38" spans="1:7" ht="14.4" customHeight="1" x14ac:dyDescent="0.25">
      <c r="A38" t="s">
        <v>191</v>
      </c>
      <c r="B38" t="s">
        <v>192</v>
      </c>
      <c r="C38" t="s">
        <v>193</v>
      </c>
      <c r="D38" s="64">
        <v>6.6</v>
      </c>
      <c r="E38" s="83">
        <v>0</v>
      </c>
      <c r="F38">
        <v>0</v>
      </c>
      <c r="G38" s="64">
        <v>10</v>
      </c>
    </row>
    <row r="39" spans="1:7" ht="14.4" customHeight="1" x14ac:dyDescent="0.25">
      <c r="A39" t="s">
        <v>194</v>
      </c>
      <c r="B39" t="s">
        <v>195</v>
      </c>
      <c r="C39" t="s">
        <v>196</v>
      </c>
      <c r="D39" s="64">
        <v>6.5</v>
      </c>
      <c r="E39" s="83">
        <v>0</v>
      </c>
      <c r="F39">
        <v>0</v>
      </c>
      <c r="G39" s="64">
        <v>15</v>
      </c>
    </row>
    <row r="40" spans="1:7" ht="14.4" customHeight="1" x14ac:dyDescent="0.25">
      <c r="A40" t="s">
        <v>197</v>
      </c>
      <c r="B40" t="s">
        <v>198</v>
      </c>
      <c r="C40" t="s">
        <v>199</v>
      </c>
      <c r="D40" s="64">
        <v>5.5</v>
      </c>
      <c r="E40" s="83">
        <v>0</v>
      </c>
      <c r="F40" t="s">
        <v>526</v>
      </c>
      <c r="G40" s="64">
        <v>10</v>
      </c>
    </row>
    <row r="41" spans="1:7" ht="14.4" customHeight="1" x14ac:dyDescent="0.25">
      <c r="A41" t="s">
        <v>200</v>
      </c>
      <c r="B41" t="s">
        <v>201</v>
      </c>
      <c r="C41" t="s">
        <v>202</v>
      </c>
      <c r="D41" s="64">
        <v>5.4</v>
      </c>
      <c r="E41" s="83">
        <v>0</v>
      </c>
      <c r="F41">
        <v>0</v>
      </c>
      <c r="G41" s="64">
        <v>15</v>
      </c>
    </row>
    <row r="42" spans="1:7" ht="14.4" customHeight="1" x14ac:dyDescent="0.25">
      <c r="A42" t="s">
        <v>203</v>
      </c>
      <c r="B42" t="s">
        <v>204</v>
      </c>
      <c r="C42" t="s">
        <v>205</v>
      </c>
      <c r="D42" s="64">
        <v>6.5</v>
      </c>
      <c r="E42" s="83">
        <v>1.5232876712328767</v>
      </c>
      <c r="F42" t="s">
        <v>25</v>
      </c>
      <c r="G42" s="64">
        <v>10</v>
      </c>
    </row>
    <row r="43" spans="1:7" ht="14.4" customHeight="1" x14ac:dyDescent="0.25">
      <c r="A43" t="s">
        <v>206</v>
      </c>
      <c r="B43" t="s">
        <v>207</v>
      </c>
      <c r="C43" t="s">
        <v>208</v>
      </c>
      <c r="D43" s="64">
        <v>5.29</v>
      </c>
      <c r="E43" s="83">
        <v>0</v>
      </c>
      <c r="F43">
        <v>0</v>
      </c>
      <c r="G43" s="64">
        <v>10</v>
      </c>
    </row>
    <row r="44" spans="1:7" ht="14.4" customHeight="1" x14ac:dyDescent="0.25">
      <c r="A44" t="s">
        <v>209</v>
      </c>
      <c r="B44" t="s">
        <v>210</v>
      </c>
      <c r="C44" t="s">
        <v>211</v>
      </c>
      <c r="D44" s="64">
        <v>5.44</v>
      </c>
      <c r="E44" s="83">
        <v>0</v>
      </c>
      <c r="F44" t="s">
        <v>526</v>
      </c>
      <c r="G44" s="64">
        <v>10</v>
      </c>
    </row>
    <row r="45" spans="1:7" ht="14.4" customHeight="1" x14ac:dyDescent="0.25">
      <c r="A45" t="s">
        <v>212</v>
      </c>
      <c r="B45" t="s">
        <v>213</v>
      </c>
      <c r="C45" t="s">
        <v>214</v>
      </c>
      <c r="D45" s="64">
        <v>5.27</v>
      </c>
      <c r="E45" s="83">
        <v>0</v>
      </c>
      <c r="F45">
        <v>0</v>
      </c>
      <c r="G45" s="64">
        <v>15</v>
      </c>
    </row>
    <row r="46" spans="1:7" ht="14.4" customHeight="1" x14ac:dyDescent="0.25">
      <c r="A46" t="s">
        <v>215</v>
      </c>
      <c r="B46" t="s">
        <v>216</v>
      </c>
      <c r="C46" t="s">
        <v>217</v>
      </c>
      <c r="D46" s="64">
        <v>5.24</v>
      </c>
      <c r="E46" s="83">
        <v>0</v>
      </c>
      <c r="F46">
        <v>0</v>
      </c>
      <c r="G46" s="64">
        <v>15</v>
      </c>
    </row>
    <row r="47" spans="1:7" ht="14.4" customHeight="1" x14ac:dyDescent="0.25">
      <c r="A47" t="s">
        <v>218</v>
      </c>
      <c r="B47" t="s">
        <v>219</v>
      </c>
      <c r="C47" t="s">
        <v>220</v>
      </c>
      <c r="D47" s="64">
        <v>5.49</v>
      </c>
      <c r="E47" s="83">
        <v>0</v>
      </c>
      <c r="F47">
        <v>0</v>
      </c>
      <c r="G47" s="64">
        <v>10</v>
      </c>
    </row>
    <row r="48" spans="1:7" ht="14.4" customHeight="1" x14ac:dyDescent="0.25">
      <c r="A48" t="s">
        <v>221</v>
      </c>
      <c r="B48" t="s">
        <v>222</v>
      </c>
      <c r="C48" t="s">
        <v>223</v>
      </c>
      <c r="D48" s="64">
        <v>5.98</v>
      </c>
      <c r="E48" s="83">
        <v>0</v>
      </c>
      <c r="F48">
        <v>0</v>
      </c>
      <c r="G48" s="64">
        <v>15</v>
      </c>
    </row>
    <row r="49" spans="1:7" ht="14.4" customHeight="1" x14ac:dyDescent="0.25">
      <c r="A49" t="s">
        <v>224</v>
      </c>
      <c r="B49" t="s">
        <v>225</v>
      </c>
      <c r="C49" t="s">
        <v>226</v>
      </c>
      <c r="D49" s="64">
        <v>5.42</v>
      </c>
      <c r="E49" s="83">
        <v>0</v>
      </c>
      <c r="F49">
        <v>0</v>
      </c>
      <c r="G49" s="64">
        <v>15</v>
      </c>
    </row>
    <row r="50" spans="1:7" ht="14.4" customHeight="1" x14ac:dyDescent="0.25">
      <c r="A50" t="s">
        <v>227</v>
      </c>
      <c r="B50" t="s">
        <v>228</v>
      </c>
      <c r="C50" t="s">
        <v>229</v>
      </c>
      <c r="D50" s="64">
        <v>5.8</v>
      </c>
      <c r="E50" s="83">
        <v>1</v>
      </c>
      <c r="F50">
        <v>0</v>
      </c>
      <c r="G50" s="64">
        <v>10</v>
      </c>
    </row>
    <row r="51" spans="1:7" ht="14.4" customHeight="1" x14ac:dyDescent="0.25">
      <c r="A51" t="s">
        <v>230</v>
      </c>
      <c r="B51" t="s">
        <v>228</v>
      </c>
      <c r="C51" t="s">
        <v>231</v>
      </c>
      <c r="D51" s="64">
        <v>5.2</v>
      </c>
      <c r="E51" s="83">
        <v>0</v>
      </c>
      <c r="F51">
        <v>0</v>
      </c>
      <c r="G51" s="64">
        <v>10</v>
      </c>
    </row>
    <row r="52" spans="1:7" ht="14.4" customHeight="1" x14ac:dyDescent="0.25">
      <c r="A52" t="s">
        <v>232</v>
      </c>
      <c r="B52" t="s">
        <v>233</v>
      </c>
      <c r="C52" t="s">
        <v>234</v>
      </c>
      <c r="D52" s="64">
        <v>5.34</v>
      </c>
      <c r="E52" s="83">
        <v>0</v>
      </c>
      <c r="F52">
        <v>0</v>
      </c>
      <c r="G52" s="64">
        <v>15</v>
      </c>
    </row>
    <row r="53" spans="1:7" ht="14.4" customHeight="1" x14ac:dyDescent="0.25">
      <c r="A53" t="s">
        <v>235</v>
      </c>
      <c r="B53" t="s">
        <v>236</v>
      </c>
      <c r="C53" t="s">
        <v>237</v>
      </c>
      <c r="D53" s="64">
        <v>4.92</v>
      </c>
      <c r="E53" s="83">
        <v>0</v>
      </c>
      <c r="F53">
        <v>0</v>
      </c>
      <c r="G53" s="64">
        <v>15</v>
      </c>
    </row>
    <row r="54" spans="1:7" ht="14.4" customHeight="1" x14ac:dyDescent="0.25">
      <c r="A54" t="s">
        <v>238</v>
      </c>
      <c r="B54" t="s">
        <v>239</v>
      </c>
      <c r="C54" t="s">
        <v>240</v>
      </c>
      <c r="D54" s="64">
        <v>4.47</v>
      </c>
      <c r="E54" s="83">
        <v>0</v>
      </c>
      <c r="F54">
        <v>0</v>
      </c>
      <c r="G54" s="64">
        <v>20</v>
      </c>
    </row>
    <row r="55" spans="1:7" ht="14.4" customHeight="1" x14ac:dyDescent="0.25">
      <c r="A55" t="s">
        <v>241</v>
      </c>
      <c r="B55" t="s">
        <v>242</v>
      </c>
      <c r="C55" t="s">
        <v>243</v>
      </c>
      <c r="D55" s="64">
        <v>3.48</v>
      </c>
      <c r="E55" s="83">
        <v>0</v>
      </c>
      <c r="F55">
        <v>0</v>
      </c>
      <c r="G55" s="64">
        <v>10</v>
      </c>
    </row>
    <row r="56" spans="1:7" ht="14.4" customHeight="1" x14ac:dyDescent="0.25">
      <c r="A56" t="s">
        <v>244</v>
      </c>
      <c r="B56" t="s">
        <v>245</v>
      </c>
      <c r="C56" t="s">
        <v>246</v>
      </c>
      <c r="D56" s="64">
        <v>3.14</v>
      </c>
      <c r="E56" s="83">
        <v>0</v>
      </c>
      <c r="F56">
        <v>0</v>
      </c>
      <c r="G56" s="64">
        <v>10</v>
      </c>
    </row>
    <row r="57" spans="1:7" ht="14.4" customHeight="1" x14ac:dyDescent="0.25">
      <c r="A57" t="s">
        <v>247</v>
      </c>
      <c r="B57" t="s">
        <v>248</v>
      </c>
      <c r="C57" t="s">
        <v>249</v>
      </c>
      <c r="D57" s="64">
        <v>3.78</v>
      </c>
      <c r="E57" s="83">
        <v>0</v>
      </c>
      <c r="F57">
        <v>0</v>
      </c>
      <c r="G57" s="64">
        <v>10</v>
      </c>
    </row>
    <row r="58" spans="1:7" ht="14.4" customHeight="1" x14ac:dyDescent="0.25">
      <c r="A58" t="s">
        <v>250</v>
      </c>
      <c r="B58" t="s">
        <v>251</v>
      </c>
      <c r="C58" t="s">
        <v>252</v>
      </c>
      <c r="D58" s="64">
        <v>3.15</v>
      </c>
      <c r="E58" s="83">
        <v>0</v>
      </c>
      <c r="F58">
        <v>0</v>
      </c>
      <c r="G58" s="64">
        <v>20</v>
      </c>
    </row>
    <row r="59" spans="1:7" ht="14.4" customHeight="1" x14ac:dyDescent="0.25">
      <c r="A59" t="s">
        <v>253</v>
      </c>
      <c r="B59" t="s">
        <v>254</v>
      </c>
      <c r="C59" t="s">
        <v>255</v>
      </c>
      <c r="D59" s="64">
        <v>3.24</v>
      </c>
      <c r="E59" s="83">
        <v>0</v>
      </c>
      <c r="F59">
        <v>0</v>
      </c>
      <c r="G59" s="64">
        <v>15</v>
      </c>
    </row>
    <row r="60" spans="1:7" ht="14.4" customHeight="1" x14ac:dyDescent="0.25">
      <c r="A60" t="s">
        <v>256</v>
      </c>
      <c r="B60" t="s">
        <v>257</v>
      </c>
      <c r="C60" t="s">
        <v>258</v>
      </c>
      <c r="D60" s="64">
        <v>3.94</v>
      </c>
      <c r="E60" s="83">
        <v>0</v>
      </c>
      <c r="F60">
        <v>0</v>
      </c>
      <c r="G60" s="64">
        <v>15</v>
      </c>
    </row>
    <row r="61" spans="1:7" ht="14.4" customHeight="1" x14ac:dyDescent="0.25">
      <c r="A61" t="s">
        <v>259</v>
      </c>
      <c r="B61" t="s">
        <v>260</v>
      </c>
      <c r="C61" t="s">
        <v>261</v>
      </c>
      <c r="D61" s="64">
        <v>3.58</v>
      </c>
      <c r="E61" s="83">
        <v>0</v>
      </c>
      <c r="F61">
        <v>0</v>
      </c>
      <c r="G61" s="64">
        <v>10</v>
      </c>
    </row>
    <row r="62" spans="1:7" ht="14.4" customHeight="1" x14ac:dyDescent="0.25">
      <c r="A62" t="s">
        <v>262</v>
      </c>
      <c r="B62" t="s">
        <v>263</v>
      </c>
      <c r="C62" t="s">
        <v>264</v>
      </c>
      <c r="D62" s="64">
        <v>3.5</v>
      </c>
      <c r="E62" s="83">
        <v>0</v>
      </c>
      <c r="F62">
        <v>0</v>
      </c>
      <c r="G62" s="64">
        <v>15</v>
      </c>
    </row>
    <row r="63" spans="1:7" ht="14.4" customHeight="1" x14ac:dyDescent="0.25">
      <c r="A63" t="s">
        <v>265</v>
      </c>
      <c r="B63" t="s">
        <v>266</v>
      </c>
      <c r="C63" t="s">
        <v>267</v>
      </c>
      <c r="D63" s="64">
        <v>3.39</v>
      </c>
      <c r="E63" s="83">
        <v>0</v>
      </c>
      <c r="F63">
        <v>0</v>
      </c>
      <c r="G63" s="64">
        <v>10</v>
      </c>
    </row>
    <row r="64" spans="1:7" ht="14.4" customHeight="1" x14ac:dyDescent="0.25">
      <c r="A64" t="s">
        <v>268</v>
      </c>
      <c r="B64" t="s">
        <v>269</v>
      </c>
      <c r="C64" t="s">
        <v>270</v>
      </c>
      <c r="D64" s="64">
        <v>3.68</v>
      </c>
      <c r="E64" s="83">
        <v>2.0273972602739727</v>
      </c>
      <c r="F64" t="s">
        <v>25</v>
      </c>
      <c r="G64" s="64">
        <v>10</v>
      </c>
    </row>
    <row r="65" spans="1:7" ht="14.4" customHeight="1" x14ac:dyDescent="0.25">
      <c r="A65" t="s">
        <v>271</v>
      </c>
      <c r="B65" t="s">
        <v>272</v>
      </c>
      <c r="C65" t="s">
        <v>273</v>
      </c>
      <c r="D65" s="64">
        <v>4</v>
      </c>
      <c r="E65" s="83">
        <v>0</v>
      </c>
      <c r="F65">
        <v>0</v>
      </c>
      <c r="G65" s="64">
        <v>10</v>
      </c>
    </row>
    <row r="66" spans="1:7" ht="14.4" customHeight="1" x14ac:dyDescent="0.25">
      <c r="A66" t="s">
        <v>274</v>
      </c>
      <c r="B66" t="s">
        <v>275</v>
      </c>
      <c r="C66" t="s">
        <v>276</v>
      </c>
      <c r="D66" s="64">
        <v>3.66</v>
      </c>
      <c r="E66" s="83">
        <v>3.9890710382513661</v>
      </c>
      <c r="F66" t="s">
        <v>25</v>
      </c>
      <c r="G66" s="64">
        <v>10</v>
      </c>
    </row>
    <row r="67" spans="1:7" ht="14.4" customHeight="1" x14ac:dyDescent="0.25">
      <c r="A67" t="s">
        <v>277</v>
      </c>
      <c r="B67" t="s">
        <v>278</v>
      </c>
      <c r="C67" t="s">
        <v>279</v>
      </c>
      <c r="D67" s="64">
        <v>6</v>
      </c>
      <c r="E67" s="83">
        <v>0</v>
      </c>
      <c r="F67" t="s">
        <v>25</v>
      </c>
      <c r="G67" s="64">
        <v>20</v>
      </c>
    </row>
    <row r="68" spans="1:7" ht="14.4" customHeight="1" x14ac:dyDescent="0.25">
      <c r="A68" t="s">
        <v>280</v>
      </c>
      <c r="B68" t="s">
        <v>278</v>
      </c>
      <c r="C68" t="s">
        <v>281</v>
      </c>
      <c r="D68" s="64">
        <v>3.06</v>
      </c>
      <c r="E68" s="83">
        <v>0</v>
      </c>
      <c r="F68">
        <v>0</v>
      </c>
      <c r="G68" s="64">
        <v>10</v>
      </c>
    </row>
    <row r="69" spans="1:7" ht="14.4" customHeight="1" x14ac:dyDescent="0.25">
      <c r="A69" t="s">
        <v>282</v>
      </c>
      <c r="B69" t="s">
        <v>283</v>
      </c>
      <c r="C69" t="s">
        <v>284</v>
      </c>
      <c r="D69" s="64">
        <v>3.05</v>
      </c>
      <c r="E69" s="83">
        <v>0</v>
      </c>
      <c r="F69">
        <v>0</v>
      </c>
      <c r="G69" s="64">
        <v>10</v>
      </c>
    </row>
    <row r="70" spans="1:7" ht="14.4" customHeight="1" x14ac:dyDescent="0.25">
      <c r="A70" t="s">
        <v>285</v>
      </c>
      <c r="B70" t="s">
        <v>286</v>
      </c>
      <c r="C70" t="s">
        <v>287</v>
      </c>
      <c r="D70" s="64">
        <v>2.88</v>
      </c>
      <c r="E70" s="83">
        <v>0</v>
      </c>
      <c r="F70" t="s">
        <v>526</v>
      </c>
      <c r="G70" s="64">
        <v>15</v>
      </c>
    </row>
    <row r="71" spans="1:7" ht="14.4" customHeight="1" x14ac:dyDescent="0.25">
      <c r="A71" t="s">
        <v>288</v>
      </c>
      <c r="B71" t="s">
        <v>289</v>
      </c>
      <c r="C71" t="s">
        <v>290</v>
      </c>
      <c r="D71" s="64">
        <v>3.48</v>
      </c>
      <c r="E71" s="83">
        <v>0</v>
      </c>
      <c r="F71">
        <v>0</v>
      </c>
      <c r="G71" s="64">
        <v>10</v>
      </c>
    </row>
    <row r="72" spans="1:7" ht="14.4" customHeight="1" x14ac:dyDescent="0.25">
      <c r="A72" t="s">
        <v>291</v>
      </c>
      <c r="B72" t="s">
        <v>292</v>
      </c>
      <c r="C72" t="s">
        <v>293</v>
      </c>
      <c r="D72" s="64">
        <v>3.59</v>
      </c>
      <c r="E72" s="83">
        <v>0</v>
      </c>
      <c r="F72">
        <v>0</v>
      </c>
      <c r="G72" s="64">
        <v>20</v>
      </c>
    </row>
    <row r="73" spans="1:7" ht="14.4" customHeight="1" x14ac:dyDescent="0.25">
      <c r="A73" t="s">
        <v>294</v>
      </c>
      <c r="B73" t="s">
        <v>295</v>
      </c>
      <c r="C73" t="s">
        <v>296</v>
      </c>
      <c r="D73" s="64">
        <v>3.18</v>
      </c>
      <c r="E73" s="83">
        <v>0</v>
      </c>
      <c r="F73">
        <v>0</v>
      </c>
      <c r="G73" s="64">
        <v>5</v>
      </c>
    </row>
    <row r="74" spans="1:7" ht="14.4" customHeight="1" x14ac:dyDescent="0.25">
      <c r="A74" t="s">
        <v>297</v>
      </c>
      <c r="B74" t="s">
        <v>298</v>
      </c>
      <c r="C74" t="s">
        <v>299</v>
      </c>
      <c r="D74" s="64">
        <v>3.3</v>
      </c>
      <c r="E74" s="83">
        <v>0</v>
      </c>
      <c r="F74">
        <v>0</v>
      </c>
      <c r="G74" s="64">
        <v>10</v>
      </c>
    </row>
    <row r="75" spans="1:7" ht="14.4" customHeight="1" x14ac:dyDescent="0.25">
      <c r="A75" t="s">
        <v>300</v>
      </c>
      <c r="B75" t="s">
        <v>301</v>
      </c>
      <c r="C75" t="s">
        <v>302</v>
      </c>
      <c r="D75" s="64">
        <v>3.5</v>
      </c>
      <c r="E75" s="83">
        <v>0</v>
      </c>
      <c r="F75">
        <v>0</v>
      </c>
      <c r="G75" s="64">
        <v>15</v>
      </c>
    </row>
    <row r="76" spans="1:7" ht="14.4" customHeight="1" x14ac:dyDescent="0.25">
      <c r="A76" t="s">
        <v>303</v>
      </c>
      <c r="B76" t="s">
        <v>304</v>
      </c>
      <c r="C76" t="s">
        <v>305</v>
      </c>
      <c r="D76" s="64">
        <v>5.45</v>
      </c>
      <c r="E76" s="83">
        <v>1.3342465753424657</v>
      </c>
      <c r="F76" t="s">
        <v>25</v>
      </c>
      <c r="G76" s="64">
        <v>9</v>
      </c>
    </row>
    <row r="77" spans="1:7" ht="14.4" customHeight="1" x14ac:dyDescent="0.25">
      <c r="A77" t="s">
        <v>306</v>
      </c>
      <c r="B77" t="s">
        <v>307</v>
      </c>
      <c r="C77" t="s">
        <v>308</v>
      </c>
      <c r="D77" s="64">
        <v>3.46</v>
      </c>
      <c r="E77" s="83">
        <v>0</v>
      </c>
      <c r="F77" t="s">
        <v>526</v>
      </c>
      <c r="G77" s="64">
        <v>15</v>
      </c>
    </row>
    <row r="78" spans="1:7" ht="14.4" customHeight="1" x14ac:dyDescent="0.25">
      <c r="A78" t="s">
        <v>309</v>
      </c>
      <c r="B78" t="s">
        <v>310</v>
      </c>
      <c r="C78" t="s">
        <v>311</v>
      </c>
      <c r="D78" s="64">
        <v>3.58</v>
      </c>
      <c r="E78" s="83">
        <v>0</v>
      </c>
      <c r="F78">
        <v>0</v>
      </c>
      <c r="G78" s="64">
        <v>8</v>
      </c>
    </row>
    <row r="79" spans="1:7" ht="14.4" customHeight="1" x14ac:dyDescent="0.25">
      <c r="A79" t="s">
        <v>312</v>
      </c>
      <c r="B79" t="s">
        <v>313</v>
      </c>
      <c r="C79" t="s">
        <v>314</v>
      </c>
      <c r="D79" s="64">
        <v>3.3</v>
      </c>
      <c r="E79" s="83">
        <v>0</v>
      </c>
      <c r="F79">
        <v>0</v>
      </c>
      <c r="G79" s="64">
        <v>10</v>
      </c>
    </row>
    <row r="80" spans="1:7" ht="14.4" customHeight="1" x14ac:dyDescent="0.25">
      <c r="A80" t="s">
        <v>315</v>
      </c>
      <c r="B80" t="s">
        <v>316</v>
      </c>
      <c r="C80" t="s">
        <v>317</v>
      </c>
      <c r="D80" s="64">
        <v>6.19</v>
      </c>
      <c r="E80" s="83">
        <v>1.2027397260273973</v>
      </c>
      <c r="F80" t="s">
        <v>25</v>
      </c>
      <c r="G80" s="64">
        <v>10</v>
      </c>
    </row>
    <row r="81" spans="1:7" ht="14.4" customHeight="1" x14ac:dyDescent="0.25">
      <c r="A81" t="s">
        <v>318</v>
      </c>
      <c r="B81" t="s">
        <v>319</v>
      </c>
      <c r="C81" t="s">
        <v>320</v>
      </c>
      <c r="D81" s="64">
        <v>5.3</v>
      </c>
      <c r="E81" s="83">
        <v>0</v>
      </c>
      <c r="F81">
        <v>0</v>
      </c>
      <c r="G81" s="64">
        <v>15</v>
      </c>
    </row>
    <row r="82" spans="1:7" ht="14.4" customHeight="1" x14ac:dyDescent="0.25">
      <c r="A82" t="s">
        <v>321</v>
      </c>
      <c r="B82" t="s">
        <v>322</v>
      </c>
      <c r="C82" t="s">
        <v>323</v>
      </c>
      <c r="D82" s="64">
        <v>4.9000000000000004</v>
      </c>
      <c r="E82" s="83">
        <v>0</v>
      </c>
      <c r="F82">
        <v>0</v>
      </c>
      <c r="G82" s="64">
        <v>10</v>
      </c>
    </row>
    <row r="83" spans="1:7" ht="14.4" customHeight="1" x14ac:dyDescent="0.25">
      <c r="A83" t="s">
        <v>324</v>
      </c>
      <c r="B83" t="s">
        <v>325</v>
      </c>
      <c r="C83" t="s">
        <v>326</v>
      </c>
      <c r="D83" s="64">
        <v>4.7300000000000004</v>
      </c>
      <c r="E83" s="83">
        <v>0</v>
      </c>
      <c r="F83">
        <v>0</v>
      </c>
      <c r="G83" s="64">
        <v>10</v>
      </c>
    </row>
    <row r="84" spans="1:7" ht="14.4" customHeight="1" x14ac:dyDescent="0.25">
      <c r="A84" t="s">
        <v>327</v>
      </c>
      <c r="B84" t="s">
        <v>328</v>
      </c>
      <c r="C84" t="s">
        <v>329</v>
      </c>
      <c r="D84" s="64">
        <v>5.19</v>
      </c>
      <c r="E84" s="83">
        <v>0</v>
      </c>
      <c r="F84">
        <v>0</v>
      </c>
      <c r="G84" s="64">
        <v>10</v>
      </c>
    </row>
    <row r="85" spans="1:7" ht="14.4" customHeight="1" x14ac:dyDescent="0.25">
      <c r="A85" t="s">
        <v>330</v>
      </c>
      <c r="B85" t="s">
        <v>331</v>
      </c>
      <c r="C85" t="s">
        <v>332</v>
      </c>
      <c r="D85" s="64">
        <v>5.25</v>
      </c>
      <c r="E85" s="83">
        <v>0</v>
      </c>
      <c r="F85">
        <v>0</v>
      </c>
      <c r="G85" s="64">
        <v>10</v>
      </c>
    </row>
    <row r="86" spans="1:7" ht="14.4" customHeight="1" x14ac:dyDescent="0.25">
      <c r="A86" t="s">
        <v>333</v>
      </c>
      <c r="B86" t="s">
        <v>334</v>
      </c>
      <c r="C86" t="s">
        <v>335</v>
      </c>
      <c r="D86" s="64">
        <v>5.04</v>
      </c>
      <c r="E86" s="83">
        <v>0</v>
      </c>
      <c r="F86">
        <v>0</v>
      </c>
      <c r="G86" s="64">
        <v>15</v>
      </c>
    </row>
    <row r="87" spans="1:7" ht="14.4" customHeight="1" x14ac:dyDescent="0.25">
      <c r="A87" t="s">
        <v>336</v>
      </c>
      <c r="B87" t="s">
        <v>337</v>
      </c>
      <c r="C87" t="s">
        <v>338</v>
      </c>
      <c r="D87" s="64">
        <v>5.9</v>
      </c>
      <c r="E87" s="83">
        <v>0</v>
      </c>
      <c r="F87">
        <v>0</v>
      </c>
      <c r="G87" s="64">
        <v>10</v>
      </c>
    </row>
    <row r="88" spans="1:7" ht="14.4" customHeight="1" x14ac:dyDescent="0.25">
      <c r="A88" t="s">
        <v>339</v>
      </c>
      <c r="B88" t="s">
        <v>340</v>
      </c>
      <c r="C88" t="s">
        <v>341</v>
      </c>
      <c r="D88" s="64">
        <v>5.05</v>
      </c>
      <c r="E88" s="83">
        <v>0</v>
      </c>
      <c r="F88">
        <v>0</v>
      </c>
      <c r="G88" s="64">
        <v>10</v>
      </c>
    </row>
    <row r="89" spans="1:7" ht="14.4" customHeight="1" x14ac:dyDescent="0.25">
      <c r="A89" t="s">
        <v>342</v>
      </c>
      <c r="B89" t="s">
        <v>343</v>
      </c>
      <c r="C89" t="s">
        <v>344</v>
      </c>
      <c r="D89" s="64">
        <v>6.8</v>
      </c>
      <c r="E89" s="83">
        <v>0.70410958904109588</v>
      </c>
      <c r="F89" t="s">
        <v>25</v>
      </c>
      <c r="G89" s="64">
        <v>7</v>
      </c>
    </row>
    <row r="90" spans="1:7" ht="14.4" customHeight="1" x14ac:dyDescent="0.25">
      <c r="A90" t="s">
        <v>345</v>
      </c>
      <c r="B90" t="s">
        <v>346</v>
      </c>
      <c r="C90" t="s">
        <v>347</v>
      </c>
      <c r="D90" s="64">
        <v>6.4</v>
      </c>
      <c r="E90" s="83">
        <v>0</v>
      </c>
      <c r="F90" t="s">
        <v>25</v>
      </c>
      <c r="G90" s="64">
        <v>10</v>
      </c>
    </row>
    <row r="91" spans="1:7" ht="14.4" customHeight="1" x14ac:dyDescent="0.25">
      <c r="A91" t="s">
        <v>348</v>
      </c>
      <c r="B91" t="s">
        <v>349</v>
      </c>
      <c r="C91" t="s">
        <v>350</v>
      </c>
      <c r="D91" s="64">
        <v>3.96</v>
      </c>
      <c r="E91" s="83">
        <v>0</v>
      </c>
      <c r="F91">
        <v>0</v>
      </c>
      <c r="G91" s="64">
        <v>11</v>
      </c>
    </row>
    <row r="92" spans="1:7" ht="14.4" customHeight="1" x14ac:dyDescent="0.25">
      <c r="A92" t="s">
        <v>351</v>
      </c>
      <c r="B92" t="s">
        <v>352</v>
      </c>
      <c r="C92" t="s">
        <v>353</v>
      </c>
      <c r="D92" s="64">
        <v>5.0999999999999996</v>
      </c>
      <c r="E92" s="83">
        <v>0</v>
      </c>
      <c r="F92">
        <v>0</v>
      </c>
      <c r="G92" s="64">
        <v>10</v>
      </c>
    </row>
    <row r="93" spans="1:7" ht="14.4" customHeight="1" x14ac:dyDescent="0.25">
      <c r="A93" t="s">
        <v>354</v>
      </c>
      <c r="B93" t="s">
        <v>355</v>
      </c>
      <c r="C93" t="s">
        <v>356</v>
      </c>
      <c r="D93" s="64">
        <v>5.34</v>
      </c>
      <c r="E93" s="83">
        <v>0</v>
      </c>
      <c r="F93" t="s">
        <v>526</v>
      </c>
      <c r="G93" s="64">
        <v>15</v>
      </c>
    </row>
    <row r="94" spans="1:7" ht="14.4" customHeight="1" x14ac:dyDescent="0.25">
      <c r="A94" t="s">
        <v>357</v>
      </c>
      <c r="B94" t="s">
        <v>358</v>
      </c>
      <c r="C94" t="s">
        <v>359</v>
      </c>
      <c r="D94" s="64">
        <v>6.4</v>
      </c>
      <c r="E94" s="83">
        <v>0</v>
      </c>
      <c r="F94">
        <v>0</v>
      </c>
      <c r="G94" s="64">
        <v>10</v>
      </c>
    </row>
    <row r="95" spans="1:7" ht="14.4" customHeight="1" x14ac:dyDescent="0.25">
      <c r="A95" t="s">
        <v>360</v>
      </c>
      <c r="B95" t="s">
        <v>361</v>
      </c>
      <c r="C95" t="s">
        <v>362</v>
      </c>
      <c r="D95" s="64">
        <v>5.5</v>
      </c>
      <c r="E95" s="83">
        <v>0</v>
      </c>
      <c r="F95" t="s">
        <v>526</v>
      </c>
      <c r="G95" s="64">
        <v>15</v>
      </c>
    </row>
    <row r="96" spans="1:7" ht="14.4" customHeight="1" x14ac:dyDescent="0.25">
      <c r="A96" t="s">
        <v>363</v>
      </c>
      <c r="B96" t="s">
        <v>364</v>
      </c>
      <c r="C96" t="s">
        <v>365</v>
      </c>
      <c r="D96" s="64">
        <v>6.68</v>
      </c>
      <c r="E96" s="83">
        <v>0</v>
      </c>
      <c r="F96" t="s">
        <v>25</v>
      </c>
      <c r="G96" s="64">
        <v>8</v>
      </c>
    </row>
    <row r="97" spans="1:7" ht="14.4" customHeight="1" x14ac:dyDescent="0.25">
      <c r="A97" t="s">
        <v>366</v>
      </c>
      <c r="B97" t="s">
        <v>364</v>
      </c>
      <c r="C97" t="s">
        <v>367</v>
      </c>
      <c r="D97" s="64">
        <v>6.55</v>
      </c>
      <c r="E97" s="83">
        <v>0</v>
      </c>
      <c r="F97" t="s">
        <v>526</v>
      </c>
      <c r="G97" s="64">
        <v>8</v>
      </c>
    </row>
    <row r="98" spans="1:7" ht="14.4" customHeight="1" x14ac:dyDescent="0.25">
      <c r="A98" t="s">
        <v>368</v>
      </c>
      <c r="B98" t="s">
        <v>369</v>
      </c>
      <c r="C98" t="s">
        <v>370</v>
      </c>
      <c r="D98" s="64">
        <v>6.4</v>
      </c>
      <c r="E98" s="83">
        <v>0</v>
      </c>
      <c r="F98">
        <v>0</v>
      </c>
      <c r="G98" s="64">
        <v>10</v>
      </c>
    </row>
    <row r="99" spans="1:7" ht="14.4" customHeight="1" x14ac:dyDescent="0.25">
      <c r="A99" t="s">
        <v>371</v>
      </c>
      <c r="B99" t="s">
        <v>372</v>
      </c>
      <c r="C99" t="s">
        <v>373</v>
      </c>
      <c r="D99" s="64">
        <v>5.8</v>
      </c>
      <c r="E99" s="83">
        <v>0</v>
      </c>
      <c r="F99">
        <v>0</v>
      </c>
      <c r="G99" s="64">
        <v>10</v>
      </c>
    </row>
    <row r="100" spans="1:7" ht="14.4" customHeight="1" x14ac:dyDescent="0.25">
      <c r="A100" t="s">
        <v>374</v>
      </c>
      <c r="B100" t="s">
        <v>375</v>
      </c>
      <c r="C100" t="s">
        <v>376</v>
      </c>
      <c r="D100" s="64">
        <v>4.54</v>
      </c>
      <c r="E100" s="83">
        <v>0</v>
      </c>
      <c r="F100" t="s">
        <v>526</v>
      </c>
      <c r="G100" s="64">
        <v>15</v>
      </c>
    </row>
    <row r="101" spans="1:7" ht="14.4" customHeight="1" x14ac:dyDescent="0.25">
      <c r="A101" t="s">
        <v>377</v>
      </c>
      <c r="B101" t="s">
        <v>378</v>
      </c>
      <c r="C101" t="s">
        <v>379</v>
      </c>
      <c r="D101" s="64">
        <v>5.54</v>
      </c>
      <c r="E101" s="83">
        <v>0</v>
      </c>
      <c r="F101" t="s">
        <v>25</v>
      </c>
      <c r="G101" s="64">
        <v>15</v>
      </c>
    </row>
    <row r="102" spans="1:7" ht="14.4" customHeight="1" x14ac:dyDescent="0.25">
      <c r="A102" t="s">
        <v>380</v>
      </c>
      <c r="B102" t="s">
        <v>381</v>
      </c>
      <c r="C102" t="s">
        <v>382</v>
      </c>
      <c r="D102" s="64">
        <v>5.9</v>
      </c>
      <c r="E102" s="83">
        <v>0</v>
      </c>
      <c r="F102">
        <v>0</v>
      </c>
      <c r="G102" s="64">
        <v>10</v>
      </c>
    </row>
    <row r="103" spans="1:7" ht="14.4" customHeight="1" x14ac:dyDescent="0.25">
      <c r="A103" t="s">
        <v>383</v>
      </c>
      <c r="B103" t="s">
        <v>384</v>
      </c>
      <c r="C103" t="s">
        <v>385</v>
      </c>
      <c r="D103" s="64">
        <v>5.9</v>
      </c>
      <c r="E103" s="83">
        <v>0</v>
      </c>
      <c r="F103">
        <v>0</v>
      </c>
      <c r="G103" s="64">
        <v>10</v>
      </c>
    </row>
    <row r="104" spans="1:7" ht="14.4" customHeight="1" x14ac:dyDescent="0.25">
      <c r="A104" t="s">
        <v>386</v>
      </c>
      <c r="B104" t="s">
        <v>387</v>
      </c>
      <c r="C104" t="s">
        <v>388</v>
      </c>
      <c r="D104" s="64">
        <v>5.88</v>
      </c>
      <c r="E104" s="83">
        <v>0</v>
      </c>
      <c r="F104" t="s">
        <v>526</v>
      </c>
      <c r="G104" s="64">
        <v>15</v>
      </c>
    </row>
    <row r="105" spans="1:7" ht="14.4" customHeight="1" x14ac:dyDescent="0.25">
      <c r="A105" t="s">
        <v>389</v>
      </c>
      <c r="B105" t="s">
        <v>390</v>
      </c>
      <c r="C105" t="s">
        <v>391</v>
      </c>
      <c r="D105" s="64">
        <v>6.73</v>
      </c>
      <c r="E105" s="83">
        <v>0</v>
      </c>
      <c r="F105" t="s">
        <v>25</v>
      </c>
      <c r="G105" s="64">
        <v>8</v>
      </c>
    </row>
    <row r="106" spans="1:7" ht="14.4" customHeight="1" x14ac:dyDescent="0.25">
      <c r="A106" t="s">
        <v>392</v>
      </c>
      <c r="B106" t="s">
        <v>393</v>
      </c>
      <c r="C106" t="s">
        <v>394</v>
      </c>
      <c r="D106" s="64">
        <v>3.25</v>
      </c>
      <c r="E106" s="83">
        <v>0</v>
      </c>
      <c r="F106" t="s">
        <v>526</v>
      </c>
      <c r="G106" s="64">
        <v>15</v>
      </c>
    </row>
    <row r="107" spans="1:7" ht="14.4" customHeight="1" x14ac:dyDescent="0.25">
      <c r="A107" t="s">
        <v>395</v>
      </c>
      <c r="B107" t="s">
        <v>396</v>
      </c>
      <c r="C107" t="s">
        <v>397</v>
      </c>
      <c r="D107" s="64">
        <v>5.88</v>
      </c>
      <c r="E107" s="83">
        <v>0</v>
      </c>
      <c r="F107" t="s">
        <v>527</v>
      </c>
      <c r="G107" s="64">
        <v>7</v>
      </c>
    </row>
    <row r="108" spans="1:7" ht="14.4" customHeight="1" x14ac:dyDescent="0.25">
      <c r="A108" t="s">
        <v>398</v>
      </c>
      <c r="B108" t="s">
        <v>396</v>
      </c>
      <c r="C108" t="s">
        <v>397</v>
      </c>
      <c r="D108" s="64">
        <v>5.88</v>
      </c>
      <c r="E108" s="83">
        <v>0</v>
      </c>
      <c r="F108" t="s">
        <v>527</v>
      </c>
      <c r="G108" s="64">
        <v>7</v>
      </c>
    </row>
    <row r="109" spans="1:7" ht="14.4" customHeight="1" x14ac:dyDescent="0.25">
      <c r="A109" t="s">
        <v>399</v>
      </c>
      <c r="B109" t="s">
        <v>400</v>
      </c>
      <c r="C109" t="s">
        <v>401</v>
      </c>
      <c r="D109" s="64">
        <v>2.92</v>
      </c>
      <c r="E109" s="83">
        <v>0</v>
      </c>
      <c r="F109" t="s">
        <v>526</v>
      </c>
      <c r="G109" s="64">
        <v>15</v>
      </c>
    </row>
    <row r="110" spans="1:7" ht="14.4" customHeight="1" x14ac:dyDescent="0.25">
      <c r="A110" t="s">
        <v>402</v>
      </c>
      <c r="B110" t="s">
        <v>403</v>
      </c>
      <c r="C110" t="s">
        <v>404</v>
      </c>
      <c r="D110" s="64"/>
      <c r="E110" s="83">
        <v>0</v>
      </c>
      <c r="F110" t="s">
        <v>526</v>
      </c>
      <c r="G110" s="64">
        <v>10</v>
      </c>
    </row>
    <row r="111" spans="1:7" ht="14.4" customHeight="1" x14ac:dyDescent="0.25">
      <c r="A111" t="s">
        <v>405</v>
      </c>
      <c r="B111" t="s">
        <v>406</v>
      </c>
      <c r="C111" t="s">
        <v>407</v>
      </c>
      <c r="D111" s="64"/>
      <c r="E111" s="83">
        <v>0</v>
      </c>
      <c r="F111" t="s">
        <v>526</v>
      </c>
      <c r="G111" s="64">
        <v>7.7</v>
      </c>
    </row>
    <row r="112" spans="1:7" ht="14.4" customHeight="1" x14ac:dyDescent="0.25">
      <c r="D112" s="64"/>
      <c r="E112" s="83"/>
      <c r="G112" s="64"/>
    </row>
    <row r="113" spans="1:7" ht="14.4" customHeight="1" x14ac:dyDescent="0.25">
      <c r="D113" s="64"/>
      <c r="E113" s="83"/>
      <c r="G113" s="64"/>
    </row>
    <row r="114" spans="1:7" ht="14.4" customHeight="1" x14ac:dyDescent="0.25">
      <c r="D114" s="64"/>
      <c r="E114" s="83"/>
      <c r="G114" s="64"/>
    </row>
    <row r="115" spans="1:7" ht="14.4" customHeight="1" x14ac:dyDescent="0.25">
      <c r="D115" s="64"/>
      <c r="E115" s="83"/>
      <c r="G115" s="64"/>
    </row>
    <row r="116" spans="1:7" ht="14.4" customHeight="1" x14ac:dyDescent="0.25">
      <c r="D116" s="64"/>
      <c r="E116" s="83"/>
      <c r="G116" s="64"/>
    </row>
    <row r="117" spans="1:7" ht="14.4" customHeight="1" x14ac:dyDescent="0.25">
      <c r="A117" s="143" t="s">
        <v>408</v>
      </c>
      <c r="B117" s="143"/>
      <c r="C117" s="143"/>
      <c r="D117" s="143"/>
      <c r="E117" s="83"/>
      <c r="G117" s="64"/>
    </row>
    <row r="118" spans="1:7" ht="14.4" customHeight="1" x14ac:dyDescent="0.25">
      <c r="A118" s="84" t="s">
        <v>409</v>
      </c>
      <c r="B118" s="84" t="s">
        <v>410</v>
      </c>
      <c r="C118" s="84" t="s">
        <v>411</v>
      </c>
      <c r="D118" s="85" t="s">
        <v>412</v>
      </c>
      <c r="E118" s="83"/>
      <c r="G118" s="64"/>
    </row>
    <row r="119" spans="1:7" ht="14.4" customHeight="1" x14ac:dyDescent="0.25">
      <c r="A119" t="s">
        <v>141</v>
      </c>
      <c r="B119" t="s">
        <v>25</v>
      </c>
      <c r="C119" t="s">
        <v>413</v>
      </c>
      <c r="D119" s="64" t="s">
        <v>414</v>
      </c>
      <c r="E119" s="83"/>
      <c r="G119" s="64"/>
    </row>
    <row r="120" spans="1:7" ht="14.4" customHeight="1" x14ac:dyDescent="0.25">
      <c r="A120" t="s">
        <v>415</v>
      </c>
      <c r="B120" t="s">
        <v>25</v>
      </c>
      <c r="C120" t="s">
        <v>413</v>
      </c>
      <c r="D120" s="64" t="s">
        <v>416</v>
      </c>
      <c r="E120" s="83"/>
      <c r="G120" s="64"/>
    </row>
    <row r="121" spans="1:7" ht="14.4" customHeight="1" x14ac:dyDescent="0.25">
      <c r="A121" t="s">
        <v>417</v>
      </c>
      <c r="B121" t="s">
        <v>25</v>
      </c>
      <c r="C121" t="s">
        <v>413</v>
      </c>
      <c r="D121" s="64" t="s">
        <v>418</v>
      </c>
      <c r="E121" s="83"/>
      <c r="G121" s="64"/>
    </row>
    <row r="122" spans="1:7" ht="14.4" customHeight="1" x14ac:dyDescent="0.25">
      <c r="A122" t="s">
        <v>419</v>
      </c>
      <c r="B122" t="s">
        <v>25</v>
      </c>
      <c r="C122" t="s">
        <v>413</v>
      </c>
      <c r="D122" s="64" t="s">
        <v>416</v>
      </c>
      <c r="E122" s="83"/>
      <c r="G122" s="64"/>
    </row>
    <row r="123" spans="1:7" ht="14.4" customHeight="1" x14ac:dyDescent="0.25">
      <c r="A123" t="s">
        <v>420</v>
      </c>
      <c r="B123" t="s">
        <v>25</v>
      </c>
      <c r="C123" t="s">
        <v>413</v>
      </c>
      <c r="D123" s="64" t="s">
        <v>416</v>
      </c>
      <c r="E123" s="83"/>
      <c r="G123" s="64"/>
    </row>
    <row r="124" spans="1:7" ht="14.4" customHeight="1" x14ac:dyDescent="0.25">
      <c r="A124" t="s">
        <v>421</v>
      </c>
      <c r="B124" t="s">
        <v>25</v>
      </c>
      <c r="C124" t="s">
        <v>413</v>
      </c>
      <c r="D124" s="64" t="s">
        <v>418</v>
      </c>
      <c r="E124" s="83"/>
      <c r="G124" s="64"/>
    </row>
    <row r="125" spans="1:7" ht="14.4" customHeight="1" x14ac:dyDescent="0.25">
      <c r="A125" t="s">
        <v>422</v>
      </c>
      <c r="B125" t="s">
        <v>25</v>
      </c>
      <c r="C125" t="s">
        <v>413</v>
      </c>
      <c r="D125" s="64" t="s">
        <v>418</v>
      </c>
      <c r="E125" s="83"/>
      <c r="G125" s="64"/>
    </row>
    <row r="126" spans="1:7" ht="14.4" customHeight="1" x14ac:dyDescent="0.25">
      <c r="A126" t="s">
        <v>423</v>
      </c>
      <c r="B126" t="s">
        <v>25</v>
      </c>
      <c r="C126" t="s">
        <v>413</v>
      </c>
      <c r="D126" s="64" t="s">
        <v>416</v>
      </c>
      <c r="E126" s="83"/>
      <c r="G126" s="64"/>
    </row>
    <row r="127" spans="1:7" ht="14.4" customHeight="1" x14ac:dyDescent="0.25">
      <c r="A127" t="s">
        <v>174</v>
      </c>
      <c r="B127" t="s">
        <v>25</v>
      </c>
      <c r="C127" t="s">
        <v>413</v>
      </c>
      <c r="D127" s="64" t="s">
        <v>414</v>
      </c>
      <c r="E127" s="83"/>
      <c r="G127" s="64"/>
    </row>
    <row r="128" spans="1:7" ht="14.4" customHeight="1" x14ac:dyDescent="0.25">
      <c r="A128" t="s">
        <v>424</v>
      </c>
      <c r="B128" t="s">
        <v>25</v>
      </c>
      <c r="C128" t="s">
        <v>413</v>
      </c>
      <c r="D128" s="64" t="s">
        <v>416</v>
      </c>
      <c r="E128" s="83"/>
      <c r="G128" s="64"/>
    </row>
    <row r="129" spans="1:7" ht="14.4" customHeight="1" x14ac:dyDescent="0.25">
      <c r="A129" t="s">
        <v>425</v>
      </c>
      <c r="B129" t="s">
        <v>25</v>
      </c>
      <c r="C129" t="s">
        <v>413</v>
      </c>
      <c r="D129" s="64" t="s">
        <v>416</v>
      </c>
      <c r="E129" s="83"/>
      <c r="G129" s="64"/>
    </row>
    <row r="130" spans="1:7" ht="14.4" customHeight="1" x14ac:dyDescent="0.25">
      <c r="A130" t="s">
        <v>426</v>
      </c>
      <c r="B130" t="s">
        <v>25</v>
      </c>
      <c r="C130" t="s">
        <v>413</v>
      </c>
      <c r="D130" s="64" t="s">
        <v>416</v>
      </c>
      <c r="E130" s="83"/>
      <c r="G130" s="64"/>
    </row>
    <row r="131" spans="1:7" ht="14.4" customHeight="1" x14ac:dyDescent="0.25">
      <c r="A131" t="s">
        <v>192</v>
      </c>
      <c r="B131" t="s">
        <v>25</v>
      </c>
      <c r="C131" t="s">
        <v>413</v>
      </c>
      <c r="D131" s="64" t="s">
        <v>416</v>
      </c>
      <c r="E131" s="83"/>
      <c r="G131" s="64"/>
    </row>
    <row r="132" spans="1:7" ht="14.4" customHeight="1" x14ac:dyDescent="0.25">
      <c r="A132" t="s">
        <v>427</v>
      </c>
      <c r="B132" t="s">
        <v>25</v>
      </c>
      <c r="C132" t="s">
        <v>413</v>
      </c>
      <c r="D132" s="64" t="s">
        <v>416</v>
      </c>
      <c r="E132" s="83"/>
      <c r="G132" s="64"/>
    </row>
    <row r="133" spans="1:7" ht="14.4" customHeight="1" x14ac:dyDescent="0.25">
      <c r="A133" t="s">
        <v>428</v>
      </c>
      <c r="B133" t="s">
        <v>25</v>
      </c>
      <c r="C133" t="s">
        <v>413</v>
      </c>
      <c r="D133" s="64" t="s">
        <v>416</v>
      </c>
      <c r="E133" s="83"/>
      <c r="G133" s="64"/>
    </row>
    <row r="134" spans="1:7" ht="14.4" customHeight="1" x14ac:dyDescent="0.25">
      <c r="A134" t="s">
        <v>429</v>
      </c>
      <c r="B134" t="s">
        <v>25</v>
      </c>
      <c r="C134" t="s">
        <v>413</v>
      </c>
      <c r="D134" s="64" t="s">
        <v>416</v>
      </c>
      <c r="E134" s="83"/>
      <c r="G134" s="64"/>
    </row>
    <row r="135" spans="1:7" ht="14.4" customHeight="1" x14ac:dyDescent="0.25">
      <c r="A135" t="s">
        <v>430</v>
      </c>
      <c r="B135" t="s">
        <v>25</v>
      </c>
      <c r="C135" t="s">
        <v>413</v>
      </c>
      <c r="D135" s="64" t="s">
        <v>416</v>
      </c>
      <c r="E135" s="83"/>
      <c r="G135" s="64"/>
    </row>
    <row r="136" spans="1:7" ht="14.4" customHeight="1" x14ac:dyDescent="0.25">
      <c r="A136" t="s">
        <v>431</v>
      </c>
      <c r="B136" t="s">
        <v>25</v>
      </c>
      <c r="C136" t="s">
        <v>413</v>
      </c>
      <c r="D136" s="64" t="s">
        <v>418</v>
      </c>
      <c r="E136" s="83"/>
      <c r="G136" s="64"/>
    </row>
    <row r="137" spans="1:7" ht="14.4" customHeight="1" x14ac:dyDescent="0.25">
      <c r="A137" t="s">
        <v>432</v>
      </c>
      <c r="B137" t="s">
        <v>25</v>
      </c>
      <c r="C137" t="s">
        <v>413</v>
      </c>
      <c r="D137" s="64" t="s">
        <v>416</v>
      </c>
      <c r="E137" s="83"/>
      <c r="G137" s="64"/>
    </row>
    <row r="138" spans="1:7" ht="14.4" customHeight="1" x14ac:dyDescent="0.25">
      <c r="A138" t="s">
        <v>433</v>
      </c>
      <c r="B138" t="s">
        <v>25</v>
      </c>
      <c r="C138" t="s">
        <v>413</v>
      </c>
      <c r="D138" s="64" t="s">
        <v>416</v>
      </c>
      <c r="E138" s="83"/>
      <c r="G138" s="64"/>
    </row>
    <row r="139" spans="1:7" ht="14.4" customHeight="1" x14ac:dyDescent="0.25">
      <c r="A139" t="s">
        <v>434</v>
      </c>
      <c r="B139" t="s">
        <v>25</v>
      </c>
      <c r="C139" t="s">
        <v>413</v>
      </c>
      <c r="D139" s="64" t="s">
        <v>416</v>
      </c>
      <c r="E139" s="83"/>
      <c r="G139" s="64"/>
    </row>
    <row r="140" spans="1:7" ht="14.4" customHeight="1" x14ac:dyDescent="0.25">
      <c r="A140" t="s">
        <v>435</v>
      </c>
      <c r="B140" t="s">
        <v>25</v>
      </c>
      <c r="C140" t="s">
        <v>413</v>
      </c>
      <c r="D140" s="64" t="s">
        <v>416</v>
      </c>
      <c r="E140" s="83"/>
      <c r="G140" s="64"/>
    </row>
    <row r="141" spans="1:7" ht="14.4" customHeight="1" x14ac:dyDescent="0.25">
      <c r="A141" t="s">
        <v>436</v>
      </c>
      <c r="B141" t="s">
        <v>25</v>
      </c>
      <c r="C141" t="s">
        <v>413</v>
      </c>
      <c r="D141" s="64" t="s">
        <v>418</v>
      </c>
      <c r="E141" s="83"/>
      <c r="G141" s="64"/>
    </row>
    <row r="142" spans="1:7" ht="14.4" customHeight="1" x14ac:dyDescent="0.25">
      <c r="A142" t="s">
        <v>437</v>
      </c>
      <c r="B142" t="s">
        <v>25</v>
      </c>
      <c r="C142" t="s">
        <v>413</v>
      </c>
      <c r="D142" s="64" t="s">
        <v>418</v>
      </c>
      <c r="E142" s="83"/>
      <c r="G142" s="64"/>
    </row>
    <row r="143" spans="1:7" ht="14.4" customHeight="1" x14ac:dyDescent="0.25">
      <c r="A143" t="s">
        <v>438</v>
      </c>
      <c r="B143" t="s">
        <v>25</v>
      </c>
      <c r="C143" t="s">
        <v>413</v>
      </c>
      <c r="D143" s="64" t="s">
        <v>418</v>
      </c>
      <c r="E143" s="83"/>
      <c r="G143" s="64"/>
    </row>
    <row r="144" spans="1:7" ht="14.4" customHeight="1" x14ac:dyDescent="0.25">
      <c r="A144" t="s">
        <v>439</v>
      </c>
      <c r="B144" t="s">
        <v>25</v>
      </c>
      <c r="C144" t="s">
        <v>413</v>
      </c>
      <c r="D144" s="64" t="s">
        <v>416</v>
      </c>
      <c r="E144" s="83"/>
      <c r="G144" s="64"/>
    </row>
    <row r="145" spans="1:7" ht="14.4" customHeight="1" x14ac:dyDescent="0.25">
      <c r="A145" t="s">
        <v>440</v>
      </c>
      <c r="B145" t="s">
        <v>25</v>
      </c>
      <c r="C145" t="s">
        <v>413</v>
      </c>
      <c r="D145" s="64" t="s">
        <v>441</v>
      </c>
      <c r="E145" s="83"/>
      <c r="G145" s="64"/>
    </row>
    <row r="146" spans="1:7" ht="14.4" customHeight="1" x14ac:dyDescent="0.25">
      <c r="A146" t="s">
        <v>442</v>
      </c>
      <c r="B146" t="s">
        <v>25</v>
      </c>
      <c r="C146" t="s">
        <v>413</v>
      </c>
      <c r="D146" s="64" t="s">
        <v>416</v>
      </c>
      <c r="E146" s="83"/>
      <c r="G146" s="64"/>
    </row>
    <row r="147" spans="1:7" ht="14.4" customHeight="1" x14ac:dyDescent="0.25">
      <c r="A147" t="s">
        <v>443</v>
      </c>
      <c r="B147" t="s">
        <v>25</v>
      </c>
      <c r="C147" t="s">
        <v>413</v>
      </c>
      <c r="D147" s="64" t="s">
        <v>416</v>
      </c>
      <c r="E147" s="83"/>
      <c r="G147" s="64"/>
    </row>
    <row r="148" spans="1:7" ht="14.4" customHeight="1" x14ac:dyDescent="0.25">
      <c r="A148" t="s">
        <v>444</v>
      </c>
      <c r="B148" t="s">
        <v>25</v>
      </c>
      <c r="C148" t="s">
        <v>413</v>
      </c>
      <c r="D148" s="64" t="s">
        <v>416</v>
      </c>
      <c r="E148" s="83"/>
      <c r="G148" s="64"/>
    </row>
    <row r="149" spans="1:7" ht="14.4" customHeight="1" x14ac:dyDescent="0.25">
      <c r="A149" t="s">
        <v>445</v>
      </c>
      <c r="B149" t="s">
        <v>25</v>
      </c>
      <c r="C149" t="s">
        <v>413</v>
      </c>
      <c r="D149" s="64" t="s">
        <v>416</v>
      </c>
      <c r="E149" s="83"/>
      <c r="G149" s="64"/>
    </row>
    <row r="150" spans="1:7" ht="14.4" customHeight="1" x14ac:dyDescent="0.25">
      <c r="A150" t="s">
        <v>446</v>
      </c>
      <c r="B150" t="s">
        <v>25</v>
      </c>
      <c r="C150" t="s">
        <v>413</v>
      </c>
      <c r="D150" s="64" t="s">
        <v>416</v>
      </c>
      <c r="E150" s="83"/>
      <c r="G150" s="64"/>
    </row>
    <row r="151" spans="1:7" ht="14.4" customHeight="1" x14ac:dyDescent="0.25">
      <c r="A151" t="s">
        <v>447</v>
      </c>
      <c r="B151" t="s">
        <v>25</v>
      </c>
      <c r="C151" t="s">
        <v>413</v>
      </c>
      <c r="D151" s="64" t="s">
        <v>416</v>
      </c>
      <c r="E151" s="83"/>
      <c r="G151" s="64"/>
    </row>
    <row r="152" spans="1:7" ht="14.4" customHeight="1" x14ac:dyDescent="0.25">
      <c r="A152" t="s">
        <v>448</v>
      </c>
      <c r="B152" t="s">
        <v>25</v>
      </c>
      <c r="C152" t="s">
        <v>413</v>
      </c>
      <c r="D152" s="64" t="s">
        <v>416</v>
      </c>
      <c r="E152" s="83"/>
      <c r="G152" s="64"/>
    </row>
    <row r="153" spans="1:7" ht="14.4" customHeight="1" x14ac:dyDescent="0.25">
      <c r="A153" t="s">
        <v>449</v>
      </c>
      <c r="B153" t="s">
        <v>25</v>
      </c>
      <c r="C153" t="s">
        <v>413</v>
      </c>
      <c r="D153" s="64" t="s">
        <v>416</v>
      </c>
      <c r="E153" s="83"/>
      <c r="G153" s="64"/>
    </row>
    <row r="154" spans="1:7" ht="14.4" customHeight="1" x14ac:dyDescent="0.25">
      <c r="A154" t="s">
        <v>450</v>
      </c>
      <c r="B154" t="s">
        <v>25</v>
      </c>
      <c r="C154" t="s">
        <v>413</v>
      </c>
      <c r="D154" s="64" t="s">
        <v>416</v>
      </c>
      <c r="E154" s="83"/>
      <c r="G154" s="64"/>
    </row>
    <row r="155" spans="1:7" ht="14.4" customHeight="1" x14ac:dyDescent="0.25">
      <c r="A155" t="s">
        <v>451</v>
      </c>
      <c r="B155" t="s">
        <v>25</v>
      </c>
      <c r="C155" t="s">
        <v>413</v>
      </c>
      <c r="D155" s="64" t="s">
        <v>416</v>
      </c>
      <c r="E155" s="83"/>
      <c r="G155" s="64"/>
    </row>
    <row r="156" spans="1:7" ht="14.4" customHeight="1" x14ac:dyDescent="0.25">
      <c r="A156" t="s">
        <v>452</v>
      </c>
      <c r="B156" t="s">
        <v>25</v>
      </c>
      <c r="C156" t="s">
        <v>413</v>
      </c>
      <c r="D156" s="64" t="s">
        <v>416</v>
      </c>
      <c r="E156" s="83"/>
      <c r="G156" s="64"/>
    </row>
    <row r="157" spans="1:7" ht="14.4" customHeight="1" x14ac:dyDescent="0.25">
      <c r="A157" t="s">
        <v>453</v>
      </c>
      <c r="B157" t="s">
        <v>25</v>
      </c>
      <c r="C157" t="s">
        <v>413</v>
      </c>
      <c r="D157" s="64" t="s">
        <v>416</v>
      </c>
      <c r="E157" s="83"/>
      <c r="G157" s="64"/>
    </row>
    <row r="158" spans="1:7" ht="14.4" customHeight="1" x14ac:dyDescent="0.25">
      <c r="A158" t="s">
        <v>454</v>
      </c>
      <c r="B158" t="s">
        <v>25</v>
      </c>
      <c r="C158" t="s">
        <v>413</v>
      </c>
      <c r="D158" s="64" t="s">
        <v>416</v>
      </c>
      <c r="E158" s="83"/>
      <c r="G158" s="64"/>
    </row>
    <row r="159" spans="1:7" ht="14.4" customHeight="1" x14ac:dyDescent="0.25">
      <c r="A159" t="s">
        <v>455</v>
      </c>
      <c r="B159" t="s">
        <v>25</v>
      </c>
      <c r="C159" t="s">
        <v>413</v>
      </c>
      <c r="D159" s="64" t="s">
        <v>416</v>
      </c>
      <c r="E159" s="83"/>
      <c r="G159" s="64"/>
    </row>
    <row r="160" spans="1:7" ht="14.4" customHeight="1" x14ac:dyDescent="0.25">
      <c r="A160" t="s">
        <v>456</v>
      </c>
      <c r="B160" t="s">
        <v>25</v>
      </c>
      <c r="C160" t="s">
        <v>413</v>
      </c>
      <c r="D160" s="64" t="s">
        <v>416</v>
      </c>
      <c r="E160" s="83"/>
      <c r="G160" s="64"/>
    </row>
    <row r="161" spans="1:7" ht="14.4" customHeight="1" x14ac:dyDescent="0.25">
      <c r="A161" t="s">
        <v>457</v>
      </c>
      <c r="B161" t="s">
        <v>25</v>
      </c>
      <c r="C161" t="s">
        <v>413</v>
      </c>
      <c r="D161" s="64" t="s">
        <v>416</v>
      </c>
      <c r="E161" s="83"/>
      <c r="G161" s="64"/>
    </row>
    <row r="162" spans="1:7" ht="14.4" customHeight="1" x14ac:dyDescent="0.25">
      <c r="A162" t="s">
        <v>458</v>
      </c>
      <c r="B162" t="s">
        <v>459</v>
      </c>
      <c r="C162" t="s">
        <v>413</v>
      </c>
      <c r="D162" s="64" t="s">
        <v>416</v>
      </c>
      <c r="E162" s="83"/>
      <c r="G162" s="64"/>
    </row>
    <row r="163" spans="1:7" ht="14.4" customHeight="1" x14ac:dyDescent="0.25">
      <c r="A163" t="s">
        <v>460</v>
      </c>
      <c r="B163" t="s">
        <v>459</v>
      </c>
      <c r="C163" t="s">
        <v>413</v>
      </c>
      <c r="D163" s="64" t="s">
        <v>416</v>
      </c>
      <c r="E163" s="83"/>
      <c r="G163" s="64"/>
    </row>
    <row r="164" spans="1:7" ht="14.4" customHeight="1" x14ac:dyDescent="0.25">
      <c r="A164" t="s">
        <v>461</v>
      </c>
      <c r="B164" t="s">
        <v>459</v>
      </c>
      <c r="C164" t="s">
        <v>413</v>
      </c>
      <c r="D164" s="64" t="s">
        <v>416</v>
      </c>
      <c r="E164" s="83"/>
      <c r="G164" s="64"/>
    </row>
    <row r="165" spans="1:7" ht="14.4" customHeight="1" x14ac:dyDescent="0.25">
      <c r="A165" t="s">
        <v>462</v>
      </c>
      <c r="B165" t="s">
        <v>459</v>
      </c>
      <c r="C165" t="s">
        <v>413</v>
      </c>
      <c r="D165" s="64" t="s">
        <v>416</v>
      </c>
      <c r="E165" s="83"/>
      <c r="G165" s="64"/>
    </row>
    <row r="166" spans="1:7" ht="14.4" customHeight="1" x14ac:dyDescent="0.25">
      <c r="A166" t="s">
        <v>463</v>
      </c>
      <c r="B166" t="s">
        <v>459</v>
      </c>
      <c r="C166" t="s">
        <v>413</v>
      </c>
      <c r="D166" s="64" t="s">
        <v>416</v>
      </c>
      <c r="E166" s="83"/>
      <c r="G166" s="64"/>
    </row>
    <row r="167" spans="1:7" ht="14.4" customHeight="1" x14ac:dyDescent="0.25">
      <c r="A167" t="s">
        <v>464</v>
      </c>
      <c r="B167" t="s">
        <v>465</v>
      </c>
      <c r="C167" t="s">
        <v>413</v>
      </c>
      <c r="D167" s="64" t="s">
        <v>416</v>
      </c>
      <c r="E167" s="83"/>
      <c r="G167" s="64"/>
    </row>
    <row r="168" spans="1:7" ht="14.4" customHeight="1" x14ac:dyDescent="0.25">
      <c r="A168" t="s">
        <v>466</v>
      </c>
      <c r="B168" t="s">
        <v>465</v>
      </c>
      <c r="C168" t="s">
        <v>413</v>
      </c>
      <c r="D168" s="64" t="s">
        <v>416</v>
      </c>
      <c r="E168" s="83"/>
      <c r="G168" s="64"/>
    </row>
    <row r="169" spans="1:7" ht="14.4" customHeight="1" x14ac:dyDescent="0.25">
      <c r="D169" s="64"/>
      <c r="E169" s="83"/>
      <c r="G169" s="64"/>
    </row>
    <row r="170" spans="1:7" ht="14.4" customHeight="1" x14ac:dyDescent="0.25">
      <c r="D170" s="64"/>
      <c r="E170" s="83"/>
      <c r="G170" s="64"/>
    </row>
    <row r="171" spans="1:7" ht="14.4" customHeight="1" x14ac:dyDescent="0.25">
      <c r="D171" s="64"/>
      <c r="E171" s="83"/>
      <c r="G171" s="64"/>
    </row>
    <row r="172" spans="1:7" ht="14.4" customHeight="1" x14ac:dyDescent="0.25">
      <c r="D172" s="64"/>
      <c r="E172" s="83"/>
      <c r="G172" s="64"/>
    </row>
    <row r="173" spans="1:7" ht="14.4" customHeight="1" x14ac:dyDescent="0.25">
      <c r="D173" s="64"/>
      <c r="E173" s="83"/>
      <c r="G173" s="64"/>
    </row>
    <row r="174" spans="1:7" ht="14.4" customHeight="1" x14ac:dyDescent="0.25">
      <c r="D174" s="64"/>
      <c r="E174" s="83"/>
      <c r="G174" s="64"/>
    </row>
    <row r="175" spans="1:7" ht="14.4" customHeight="1" x14ac:dyDescent="0.25">
      <c r="D175" s="64"/>
      <c r="E175" s="83"/>
      <c r="G175" s="64"/>
    </row>
    <row r="176" spans="1: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117:D117"/>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50</v>
      </c>
      <c r="B1" s="120"/>
      <c r="C1" s="120"/>
      <c r="D1" s="120"/>
      <c r="E1" s="120"/>
      <c r="F1" s="120"/>
      <c r="G1" s="120"/>
      <c r="H1" s="120"/>
      <c r="I1" s="120"/>
      <c r="J1" s="120"/>
    </row>
    <row r="2" spans="1:10" x14ac:dyDescent="0.25">
      <c r="A2" s="142" t="s">
        <v>51</v>
      </c>
      <c r="B2" s="120"/>
      <c r="C2" s="120"/>
      <c r="D2" s="120"/>
      <c r="E2" s="120"/>
      <c r="F2" s="120"/>
      <c r="G2" s="145">
        <v>2017</v>
      </c>
      <c r="H2" s="120"/>
      <c r="I2" s="120"/>
      <c r="J2" s="120"/>
    </row>
    <row r="3" spans="1:10" ht="12.75" customHeight="1" x14ac:dyDescent="0.25">
      <c r="A3" s="142" t="s">
        <v>52</v>
      </c>
      <c r="B3" s="120"/>
      <c r="C3" s="142" t="s">
        <v>53</v>
      </c>
      <c r="D3" s="120"/>
      <c r="E3" s="142" t="s">
        <v>54</v>
      </c>
      <c r="F3" s="120"/>
      <c r="G3" s="142" t="s">
        <v>55</v>
      </c>
      <c r="H3" s="120"/>
      <c r="I3" s="142" t="s">
        <v>56</v>
      </c>
      <c r="J3" s="120"/>
    </row>
    <row r="4" spans="1:10" ht="21.6" customHeight="1" x14ac:dyDescent="0.25">
      <c r="A4" s="57" t="s">
        <v>57</v>
      </c>
      <c r="B4" s="86">
        <v>0.839866</v>
      </c>
      <c r="C4" s="57" t="s">
        <v>33</v>
      </c>
      <c r="D4" s="87">
        <v>1.3934</v>
      </c>
      <c r="E4" s="57" t="s">
        <v>37</v>
      </c>
      <c r="F4" s="86">
        <v>1.0940000000000001</v>
      </c>
      <c r="G4" s="57" t="s">
        <v>38</v>
      </c>
      <c r="H4" s="86">
        <v>0.19256000000000001</v>
      </c>
      <c r="I4" s="57"/>
      <c r="J4" s="88"/>
    </row>
    <row r="5" spans="1:10" ht="15.75" customHeight="1" x14ac:dyDescent="0.25">
      <c r="A5" s="57" t="s">
        <v>58</v>
      </c>
      <c r="B5" s="86">
        <v>0.74449299999999996</v>
      </c>
      <c r="C5" s="57" t="s">
        <v>59</v>
      </c>
      <c r="D5" s="87">
        <v>0.58660000000000001</v>
      </c>
      <c r="E5" s="57" t="s">
        <v>60</v>
      </c>
      <c r="F5" s="87">
        <v>68.504199999999997</v>
      </c>
      <c r="G5" s="57" t="s">
        <v>61</v>
      </c>
      <c r="H5" s="86">
        <v>2.2019999999999998E-2</v>
      </c>
      <c r="I5" s="57"/>
      <c r="J5" s="88"/>
    </row>
    <row r="6" spans="1:10" ht="15" customHeight="1" x14ac:dyDescent="0.25">
      <c r="A6" s="57" t="s">
        <v>62</v>
      </c>
      <c r="B6" s="86">
        <v>0.63616700000000004</v>
      </c>
      <c r="C6" s="57" t="s">
        <v>35</v>
      </c>
      <c r="D6" s="89">
        <v>3.9300000000000002E-2</v>
      </c>
      <c r="E6" s="57" t="s">
        <v>63</v>
      </c>
      <c r="F6" s="87">
        <v>0.81189999999999996</v>
      </c>
      <c r="G6" s="57" t="s">
        <v>41</v>
      </c>
      <c r="H6" s="86">
        <v>3.092E-2</v>
      </c>
      <c r="I6" s="57"/>
      <c r="J6" s="88"/>
    </row>
    <row r="7" spans="1:10" ht="14.25" customHeight="1" x14ac:dyDescent="0.25">
      <c r="A7" s="57" t="s">
        <v>34</v>
      </c>
      <c r="B7" s="89">
        <v>2.619042183990111</v>
      </c>
      <c r="C7" s="57" t="s">
        <v>64</v>
      </c>
      <c r="D7" s="89">
        <v>2.1716000000000002</v>
      </c>
      <c r="E7" s="57" t="s">
        <v>65</v>
      </c>
      <c r="F7" s="87">
        <v>0.59160000000000001</v>
      </c>
      <c r="G7" s="57" t="s">
        <v>66</v>
      </c>
      <c r="H7" s="86">
        <v>1.5695000000000001E-2</v>
      </c>
      <c r="I7" s="57"/>
      <c r="J7" s="88"/>
    </row>
    <row r="8" spans="1:10" x14ac:dyDescent="0.25">
      <c r="A8" s="57"/>
      <c r="B8" s="90"/>
      <c r="C8" s="57"/>
      <c r="D8" s="91"/>
      <c r="E8" s="57" t="s">
        <v>67</v>
      </c>
      <c r="F8" s="87">
        <v>0.43430000000000002</v>
      </c>
      <c r="G8" s="57"/>
      <c r="H8" s="90"/>
      <c r="I8" s="57"/>
      <c r="J8" s="90"/>
    </row>
    <row r="9" spans="1:10" ht="13.5" customHeight="1" x14ac:dyDescent="0.25">
      <c r="A9" s="144" t="s">
        <v>68</v>
      </c>
      <c r="B9" s="120"/>
      <c r="C9" s="120"/>
      <c r="D9" s="120"/>
      <c r="E9" s="120"/>
      <c r="F9" s="120"/>
      <c r="G9" s="120"/>
      <c r="H9" s="120"/>
      <c r="I9" s="120"/>
      <c r="J9" s="120"/>
    </row>
    <row r="10" spans="1:10" ht="13.5" customHeight="1" x14ac:dyDescent="0.25">
      <c r="A10" s="142" t="s">
        <v>69</v>
      </c>
      <c r="B10" s="120"/>
      <c r="C10" s="120"/>
      <c r="D10" s="120"/>
      <c r="E10" s="120"/>
      <c r="F10" s="120"/>
      <c r="G10" s="146">
        <v>2017</v>
      </c>
      <c r="H10" s="120"/>
      <c r="I10" s="120"/>
      <c r="J10" s="120"/>
    </row>
    <row r="11" spans="1:10" x14ac:dyDescent="0.25">
      <c r="A11" s="142" t="s">
        <v>70</v>
      </c>
      <c r="B11" s="120"/>
      <c r="C11" s="142" t="s">
        <v>71</v>
      </c>
      <c r="D11" s="120"/>
      <c r="E11" s="142" t="s">
        <v>72</v>
      </c>
      <c r="F11" s="120"/>
      <c r="G11" s="120"/>
      <c r="H11" s="120"/>
      <c r="I11" s="120"/>
      <c r="J11" s="120"/>
    </row>
    <row r="12" spans="1:10" ht="14.25" customHeight="1" x14ac:dyDescent="0.25">
      <c r="A12" s="57" t="s">
        <v>73</v>
      </c>
      <c r="B12" s="92">
        <v>61.633031242799994</v>
      </c>
      <c r="C12" s="57" t="s">
        <v>74</v>
      </c>
      <c r="D12" s="89">
        <v>365.57625176379997</v>
      </c>
      <c r="E12" s="147" t="s">
        <v>75</v>
      </c>
      <c r="F12" s="120"/>
      <c r="G12" s="120"/>
      <c r="H12" s="148">
        <v>398.71746692019997</v>
      </c>
      <c r="I12" s="120"/>
      <c r="J12" s="120"/>
    </row>
    <row r="13" spans="1:10" ht="14.25" customHeight="1" x14ac:dyDescent="0.25">
      <c r="A13" s="57" t="s">
        <v>76</v>
      </c>
      <c r="B13" s="92">
        <v>5.8194626902</v>
      </c>
      <c r="C13" s="57" t="s">
        <v>77</v>
      </c>
      <c r="D13" s="89">
        <v>361.46815693690002</v>
      </c>
      <c r="E13" s="147" t="s">
        <v>78</v>
      </c>
      <c r="F13" s="120"/>
      <c r="G13" s="120"/>
      <c r="H13" s="148">
        <v>52.345800248100005</v>
      </c>
      <c r="I13" s="120"/>
      <c r="J13" s="120"/>
    </row>
    <row r="14" spans="1:10" ht="14.25" customHeight="1" x14ac:dyDescent="0.25">
      <c r="A14" s="57" t="s">
        <v>79</v>
      </c>
      <c r="B14" s="92">
        <v>67.641106699299996</v>
      </c>
      <c r="C14" s="57" t="s">
        <v>80</v>
      </c>
      <c r="D14" s="89">
        <v>294.28758342020001</v>
      </c>
      <c r="E14" s="147" t="s">
        <v>81</v>
      </c>
      <c r="F14" s="120"/>
      <c r="G14" s="120"/>
      <c r="H14" s="148">
        <v>453.74912762059995</v>
      </c>
      <c r="I14" s="120"/>
      <c r="J14" s="120"/>
    </row>
    <row r="15" spans="1:10" ht="14.25" customHeight="1" x14ac:dyDescent="0.25">
      <c r="A15" s="57" t="s">
        <v>82</v>
      </c>
      <c r="B15" s="92">
        <v>86.58192870180001</v>
      </c>
      <c r="C15" s="57" t="s">
        <v>83</v>
      </c>
      <c r="D15" s="89">
        <v>38.692487394600001</v>
      </c>
      <c r="E15" s="147" t="s">
        <v>84</v>
      </c>
      <c r="F15" s="120"/>
      <c r="G15" s="120"/>
      <c r="H15" s="148">
        <v>325.7655469673</v>
      </c>
      <c r="I15" s="120"/>
      <c r="J15" s="120"/>
    </row>
    <row r="16" spans="1:10" ht="14.25" customHeight="1" x14ac:dyDescent="0.25">
      <c r="A16" s="57" t="s">
        <v>85</v>
      </c>
      <c r="B16" s="92">
        <v>11.790083668199999</v>
      </c>
      <c r="C16" s="57" t="s">
        <v>86</v>
      </c>
      <c r="D16" s="89">
        <v>12.368382248800001</v>
      </c>
      <c r="E16" s="147" t="s">
        <v>87</v>
      </c>
      <c r="F16" s="120"/>
      <c r="G16" s="120"/>
      <c r="H16" s="148">
        <v>32.654196308499998</v>
      </c>
      <c r="I16" s="120"/>
      <c r="J16" s="120"/>
    </row>
    <row r="17" spans="1:10" ht="14.25" customHeight="1" x14ac:dyDescent="0.25">
      <c r="A17" s="57" t="s">
        <v>88</v>
      </c>
      <c r="B17" s="92">
        <v>23.655351743800001</v>
      </c>
      <c r="C17" s="57" t="s">
        <v>89</v>
      </c>
      <c r="D17" s="89">
        <v>7.4787425084999999</v>
      </c>
      <c r="E17" s="147" t="s">
        <v>90</v>
      </c>
      <c r="F17" s="120"/>
      <c r="G17" s="120"/>
      <c r="H17" s="148">
        <v>414.82422354669995</v>
      </c>
      <c r="I17" s="120"/>
      <c r="J17" s="120"/>
    </row>
    <row r="18" spans="1:10" ht="14.25" customHeight="1" x14ac:dyDescent="0.25">
      <c r="A18" s="57" t="s">
        <v>91</v>
      </c>
      <c r="B18" s="92">
        <v>847.52370665710009</v>
      </c>
      <c r="C18" s="57" t="s">
        <v>92</v>
      </c>
      <c r="D18" s="89">
        <v>8.0499766226999991</v>
      </c>
      <c r="E18" s="147" t="s">
        <v>93</v>
      </c>
      <c r="F18" s="120"/>
      <c r="G18" s="120"/>
      <c r="H18" s="148">
        <v>38.924904073899995</v>
      </c>
      <c r="I18" s="120"/>
      <c r="J18" s="120"/>
    </row>
    <row r="19" spans="1:10" ht="14.25" customHeight="1" x14ac:dyDescent="0.25">
      <c r="A19" s="57" t="s">
        <v>94</v>
      </c>
      <c r="B19" s="92">
        <v>91.438348604699996</v>
      </c>
      <c r="C19" s="57" t="s">
        <v>95</v>
      </c>
      <c r="D19" s="89">
        <v>7.128256801</v>
      </c>
      <c r="E19" s="147" t="s">
        <v>96</v>
      </c>
      <c r="F19" s="120"/>
      <c r="G19" s="120"/>
      <c r="H19" s="148">
        <v>-6.8028536855999997</v>
      </c>
      <c r="I19" s="120"/>
      <c r="J19" s="120"/>
    </row>
    <row r="20" spans="1:10" ht="27" customHeight="1" x14ac:dyDescent="0.25">
      <c r="A20" s="57" t="s">
        <v>97</v>
      </c>
      <c r="B20" s="92">
        <v>48.334289281099998</v>
      </c>
      <c r="C20" s="57" t="s">
        <v>39</v>
      </c>
      <c r="D20" s="89">
        <v>3.6998887529000002</v>
      </c>
      <c r="E20" s="147" t="s">
        <v>98</v>
      </c>
      <c r="F20" s="120"/>
      <c r="G20" s="120"/>
      <c r="H20" s="148">
        <v>0.14349999999999999</v>
      </c>
      <c r="I20" s="120"/>
      <c r="J20" s="120"/>
    </row>
    <row r="21" spans="1:10" ht="16.5" customHeight="1" x14ac:dyDescent="0.25">
      <c r="A21" s="57" t="s">
        <v>99</v>
      </c>
      <c r="B21" s="92">
        <v>0</v>
      </c>
      <c r="C21" s="57"/>
      <c r="D21" s="93"/>
      <c r="E21" s="147" t="s">
        <v>100</v>
      </c>
      <c r="F21" s="120"/>
      <c r="G21" s="120"/>
      <c r="H21" s="148">
        <v>198.12204858929999</v>
      </c>
      <c r="I21" s="120"/>
      <c r="J21" s="120"/>
    </row>
    <row r="22" spans="1:10" ht="14.25" customHeight="1" x14ac:dyDescent="0.25">
      <c r="A22" s="57" t="s">
        <v>101</v>
      </c>
      <c r="B22" s="92">
        <v>80.537234029200008</v>
      </c>
      <c r="C22" s="57"/>
      <c r="D22" s="93"/>
      <c r="E22" s="147" t="s">
        <v>102</v>
      </c>
      <c r="F22" s="120"/>
      <c r="G22" s="120"/>
      <c r="H22" s="148">
        <v>226</v>
      </c>
      <c r="I22" s="120"/>
      <c r="J22" s="120"/>
    </row>
    <row r="23" spans="1:10" ht="14.25" customHeight="1" x14ac:dyDescent="0.25">
      <c r="A23" s="57" t="s">
        <v>103</v>
      </c>
      <c r="B23" s="92">
        <v>133.10025964280001</v>
      </c>
      <c r="C23" s="57"/>
      <c r="D23" s="93"/>
      <c r="E23" s="147" t="s">
        <v>104</v>
      </c>
      <c r="F23" s="120"/>
      <c r="G23" s="120"/>
      <c r="H23" s="148">
        <v>427.68874519190001</v>
      </c>
      <c r="I23" s="120"/>
      <c r="J23" s="120"/>
    </row>
    <row r="24" spans="1:10" ht="14.25" customHeight="1" x14ac:dyDescent="0.25">
      <c r="A24" s="57" t="s">
        <v>105</v>
      </c>
      <c r="B24" s="92">
        <v>711.80661462699993</v>
      </c>
      <c r="C24" s="94"/>
      <c r="D24" s="91"/>
      <c r="E24" s="147" t="s">
        <v>106</v>
      </c>
      <c r="F24" s="120"/>
      <c r="G24" s="120"/>
      <c r="H24" s="148">
        <v>443.97821065010004</v>
      </c>
      <c r="I24" s="120"/>
      <c r="J24" s="120"/>
    </row>
    <row r="25" spans="1:10" ht="14.25" customHeight="1" x14ac:dyDescent="0.25">
      <c r="A25" s="57" t="s">
        <v>107</v>
      </c>
      <c r="B25" s="92">
        <v>135.71709203009999</v>
      </c>
      <c r="C25" s="94"/>
      <c r="D25" s="91"/>
      <c r="E25" s="147" t="s">
        <v>108</v>
      </c>
      <c r="F25" s="120"/>
      <c r="G25" s="120"/>
      <c r="H25" s="148">
        <v>469.216716701</v>
      </c>
      <c r="I25" s="120"/>
      <c r="J25" s="120"/>
    </row>
    <row r="26" spans="1:10" ht="14.25" customHeight="1" x14ac:dyDescent="0.25">
      <c r="A26" s="95" t="s">
        <v>109</v>
      </c>
      <c r="B26" s="92">
        <v>847.52370665710009</v>
      </c>
      <c r="C26" s="94"/>
      <c r="D26" s="91"/>
      <c r="E26" s="147" t="s">
        <v>110</v>
      </c>
      <c r="F26" s="120"/>
      <c r="G26" s="120"/>
      <c r="H26" s="148">
        <v>-41.527971509099999</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467</v>
      </c>
      <c r="B1" s="124"/>
      <c r="C1" s="124"/>
      <c r="D1" s="124"/>
      <c r="E1" s="124"/>
      <c r="F1" s="124"/>
      <c r="G1" s="124"/>
      <c r="H1" s="124"/>
      <c r="I1" s="124"/>
    </row>
    <row r="2" spans="1:10" ht="46.5" customHeight="1" x14ac:dyDescent="0.25">
      <c r="A2" s="54" t="s">
        <v>22</v>
      </c>
      <c r="B2" s="43" t="s">
        <v>517</v>
      </c>
      <c r="C2" s="43" t="s">
        <v>468</v>
      </c>
      <c r="D2" s="43" t="s">
        <v>528</v>
      </c>
      <c r="E2" s="43" t="s">
        <v>529</v>
      </c>
      <c r="F2" s="43" t="s">
        <v>530</v>
      </c>
      <c r="G2" s="43" t="s">
        <v>525</v>
      </c>
      <c r="H2" s="43" t="s">
        <v>525</v>
      </c>
      <c r="I2" s="43" t="s">
        <v>525</v>
      </c>
      <c r="J2" s="43" t="s">
        <v>525</v>
      </c>
    </row>
    <row r="3" spans="1:10" x14ac:dyDescent="0.25">
      <c r="A3" s="54" t="s">
        <v>24</v>
      </c>
      <c r="B3" s="97" t="s">
        <v>25</v>
      </c>
      <c r="C3" s="98" t="s">
        <v>469</v>
      </c>
      <c r="D3" s="97" t="s">
        <v>25</v>
      </c>
      <c r="E3" s="97" t="s">
        <v>25</v>
      </c>
      <c r="F3" s="97" t="s">
        <v>25</v>
      </c>
      <c r="G3" s="97" t="s">
        <v>525</v>
      </c>
      <c r="H3" s="97" t="s">
        <v>525</v>
      </c>
      <c r="I3" s="97" t="s">
        <v>525</v>
      </c>
      <c r="J3" s="97" t="s">
        <v>525</v>
      </c>
    </row>
    <row r="4" spans="1:10" s="7" customFormat="1" ht="21.6" x14ac:dyDescent="0.25">
      <c r="A4" s="9" t="s">
        <v>3</v>
      </c>
      <c r="B4" s="99" t="s">
        <v>518</v>
      </c>
      <c r="C4" s="98" t="s">
        <v>469</v>
      </c>
      <c r="D4" s="99" t="s">
        <v>518</v>
      </c>
      <c r="E4" s="99" t="s">
        <v>518</v>
      </c>
      <c r="F4" s="99" t="s">
        <v>518</v>
      </c>
      <c r="G4" s="99" t="s">
        <v>525</v>
      </c>
      <c r="H4" s="99" t="s">
        <v>525</v>
      </c>
      <c r="I4" s="99" t="s">
        <v>525</v>
      </c>
      <c r="J4" s="99" t="s">
        <v>525</v>
      </c>
    </row>
    <row r="5" spans="1:10" s="7" customFormat="1" x14ac:dyDescent="0.25">
      <c r="A5" s="9" t="s">
        <v>29</v>
      </c>
      <c r="B5" s="100" t="s">
        <v>30</v>
      </c>
      <c r="C5" s="98" t="s">
        <v>469</v>
      </c>
      <c r="D5" s="100" t="s">
        <v>30</v>
      </c>
      <c r="E5" s="100" t="s">
        <v>30</v>
      </c>
      <c r="F5" s="100" t="s">
        <v>30</v>
      </c>
      <c r="G5" s="100" t="s">
        <v>525</v>
      </c>
      <c r="H5" s="100" t="s">
        <v>525</v>
      </c>
      <c r="I5" s="100" t="s">
        <v>525</v>
      </c>
      <c r="J5" s="100" t="s">
        <v>525</v>
      </c>
    </row>
    <row r="6" spans="1:10" x14ac:dyDescent="0.25">
      <c r="A6" s="54" t="s">
        <v>31</v>
      </c>
      <c r="B6" s="101">
        <v>847.52370665710009</v>
      </c>
      <c r="C6" s="98">
        <v>279.54700196920004</v>
      </c>
      <c r="D6" s="101">
        <v>560.36719413440005</v>
      </c>
      <c r="E6" s="101">
        <v>217.64059442139998</v>
      </c>
      <c r="F6" s="101">
        <v>60.633217351800006</v>
      </c>
      <c r="G6" s="101" t="s">
        <v>525</v>
      </c>
      <c r="H6" s="101" t="s">
        <v>525</v>
      </c>
      <c r="I6" s="101" t="s">
        <v>525</v>
      </c>
      <c r="J6" s="101" t="s">
        <v>525</v>
      </c>
    </row>
    <row r="7" spans="1:10" x14ac:dyDescent="0.25">
      <c r="A7" s="54" t="s">
        <v>32</v>
      </c>
      <c r="B7" s="44">
        <v>0.839866</v>
      </c>
      <c r="C7" s="98">
        <v>0.55817700000000003</v>
      </c>
      <c r="D7" s="44">
        <v>0.67967200000000005</v>
      </c>
      <c r="E7" s="44">
        <v>0.76355099999999998</v>
      </c>
      <c r="F7" s="44">
        <v>0.23130800000000001</v>
      </c>
      <c r="G7" s="44" t="s">
        <v>525</v>
      </c>
      <c r="H7" s="44" t="s">
        <v>525</v>
      </c>
      <c r="I7" s="44" t="s">
        <v>525</v>
      </c>
      <c r="J7" s="44" t="s">
        <v>525</v>
      </c>
    </row>
    <row r="8" spans="1:10" x14ac:dyDescent="0.25">
      <c r="A8" s="54" t="s">
        <v>33</v>
      </c>
      <c r="B8" s="101">
        <v>1.3934</v>
      </c>
      <c r="C8" s="98">
        <v>1.1482333333333334</v>
      </c>
      <c r="D8" s="101">
        <v>0.8337</v>
      </c>
      <c r="E8" s="101">
        <v>0.43419999999999997</v>
      </c>
      <c r="F8" s="101">
        <v>2.1768000000000001</v>
      </c>
      <c r="G8" s="101" t="s">
        <v>525</v>
      </c>
      <c r="H8" s="101" t="s">
        <v>525</v>
      </c>
      <c r="I8" s="101" t="s">
        <v>525</v>
      </c>
      <c r="J8" s="101" t="s">
        <v>525</v>
      </c>
    </row>
    <row r="9" spans="1:10" x14ac:dyDescent="0.25">
      <c r="A9" s="54" t="s">
        <v>34</v>
      </c>
      <c r="B9" s="97">
        <v>2.619042183990111</v>
      </c>
      <c r="C9" s="98">
        <v>0.84018205688160419</v>
      </c>
      <c r="D9" s="97">
        <v>0.92215869609953627</v>
      </c>
      <c r="E9" s="97">
        <v>1.5769320439410111</v>
      </c>
      <c r="F9" s="97">
        <v>2.1455430604265316E-2</v>
      </c>
      <c r="G9" s="97" t="s">
        <v>525</v>
      </c>
      <c r="H9" s="97" t="s">
        <v>525</v>
      </c>
      <c r="I9" s="97" t="s">
        <v>525</v>
      </c>
      <c r="J9" s="97" t="s">
        <v>525</v>
      </c>
    </row>
    <row r="10" spans="1:10" ht="21.6" customHeight="1" x14ac:dyDescent="0.25">
      <c r="A10" s="54" t="s">
        <v>35</v>
      </c>
      <c r="B10" s="101">
        <v>3.9300000000000002E-2</v>
      </c>
      <c r="C10" s="98">
        <v>0.21560000000000001</v>
      </c>
      <c r="D10" s="101">
        <v>0.1076</v>
      </c>
      <c r="E10" s="101">
        <v>0.1016</v>
      </c>
      <c r="F10" s="101">
        <v>0.43759999999999999</v>
      </c>
      <c r="G10" s="101" t="s">
        <v>525</v>
      </c>
      <c r="H10" s="101" t="s">
        <v>525</v>
      </c>
      <c r="I10" s="101" t="s">
        <v>525</v>
      </c>
      <c r="J10" s="101" t="s">
        <v>525</v>
      </c>
    </row>
    <row r="11" spans="1:10" x14ac:dyDescent="0.25">
      <c r="A11" s="54" t="s">
        <v>36</v>
      </c>
      <c r="B11" s="101">
        <v>364.4700471493</v>
      </c>
      <c r="C11" s="98">
        <v>182.02415497166669</v>
      </c>
      <c r="D11" s="101">
        <v>383.07033713570002</v>
      </c>
      <c r="E11" s="101">
        <v>139.8142395175</v>
      </c>
      <c r="F11" s="101">
        <v>23.187888261799998</v>
      </c>
      <c r="G11" s="101" t="s">
        <v>525</v>
      </c>
      <c r="H11" s="101" t="s">
        <v>525</v>
      </c>
      <c r="I11" s="101" t="s">
        <v>525</v>
      </c>
      <c r="J11" s="101" t="s">
        <v>525</v>
      </c>
    </row>
    <row r="12" spans="1:10" s="7" customFormat="1" x14ac:dyDescent="0.25">
      <c r="A12" s="9" t="s">
        <v>37</v>
      </c>
      <c r="B12" s="45">
        <v>1.0940000000000001</v>
      </c>
      <c r="C12" s="98">
        <v>1.1202000000000001</v>
      </c>
      <c r="D12" s="45">
        <v>1.1471</v>
      </c>
      <c r="E12" s="45">
        <v>1.0669999999999999</v>
      </c>
      <c r="F12" s="45">
        <v>1.1465000000000001</v>
      </c>
      <c r="G12" s="45" t="s">
        <v>525</v>
      </c>
      <c r="H12" s="45" t="s">
        <v>525</v>
      </c>
      <c r="I12" s="45" t="s">
        <v>525</v>
      </c>
      <c r="J12" s="45" t="s">
        <v>525</v>
      </c>
    </row>
    <row r="13" spans="1:10" s="7" customFormat="1" x14ac:dyDescent="0.25">
      <c r="A13" s="9" t="s">
        <v>38</v>
      </c>
      <c r="B13" s="45">
        <v>0.19256000000000001</v>
      </c>
      <c r="C13" s="98">
        <v>0.25903766666666667</v>
      </c>
      <c r="D13" s="45">
        <v>0.22891500000000001</v>
      </c>
      <c r="E13" s="45">
        <v>0.22555700000000001</v>
      </c>
      <c r="F13" s="45">
        <v>0.32264100000000001</v>
      </c>
      <c r="G13" s="45" t="s">
        <v>525</v>
      </c>
      <c r="H13" s="45" t="s">
        <v>525</v>
      </c>
      <c r="I13" s="45" t="s">
        <v>525</v>
      </c>
      <c r="J13" s="45" t="s">
        <v>525</v>
      </c>
    </row>
    <row r="14" spans="1:10" s="7" customFormat="1" x14ac:dyDescent="0.25">
      <c r="A14" s="9" t="s">
        <v>39</v>
      </c>
      <c r="B14" s="102">
        <v>3.6998887529000002</v>
      </c>
      <c r="C14" s="98">
        <v>10.279236789933334</v>
      </c>
      <c r="D14" s="102">
        <v>20.978157472500001</v>
      </c>
      <c r="E14" s="102">
        <v>6.1048646030999993</v>
      </c>
      <c r="F14" s="102">
        <v>3.7546882942000002</v>
      </c>
      <c r="G14" s="102" t="s">
        <v>525</v>
      </c>
      <c r="H14" s="102" t="s">
        <v>525</v>
      </c>
      <c r="I14" s="102" t="s">
        <v>525</v>
      </c>
      <c r="J14" s="102" t="s">
        <v>525</v>
      </c>
    </row>
    <row r="15" spans="1:10" x14ac:dyDescent="0.25">
      <c r="A15" s="54" t="s">
        <v>41</v>
      </c>
      <c r="B15" s="44">
        <v>3.092E-2</v>
      </c>
      <c r="C15" s="98">
        <v>9.0557666666666661E-2</v>
      </c>
      <c r="D15" s="44">
        <v>0.100687</v>
      </c>
      <c r="E15" s="44">
        <v>0.10772399999999999</v>
      </c>
      <c r="F15" s="44">
        <v>6.3261999999999999E-2</v>
      </c>
      <c r="G15" s="44" t="s">
        <v>525</v>
      </c>
      <c r="H15" s="44" t="s">
        <v>525</v>
      </c>
      <c r="I15" s="44" t="s">
        <v>525</v>
      </c>
      <c r="J15" s="44" t="s">
        <v>525</v>
      </c>
    </row>
    <row r="16" spans="1:10" s="7" customFormat="1" ht="25.8" customHeight="1" x14ac:dyDescent="0.25">
      <c r="A16" s="9" t="s">
        <v>42</v>
      </c>
      <c r="B16" s="102">
        <v>38.924904073899995</v>
      </c>
      <c r="C16" s="98">
        <v>19.329266845400003</v>
      </c>
      <c r="D16" s="102">
        <v>37.254849480200001</v>
      </c>
      <c r="E16" s="102">
        <v>16.606519926500003</v>
      </c>
      <c r="F16" s="102">
        <v>4.1264311295000002</v>
      </c>
      <c r="G16" s="102" t="s">
        <v>525</v>
      </c>
      <c r="H16" s="102" t="s">
        <v>525</v>
      </c>
      <c r="I16" s="102" t="s">
        <v>525</v>
      </c>
      <c r="J16" s="102" t="s">
        <v>525</v>
      </c>
    </row>
    <row r="17" spans="1:10" x14ac:dyDescent="0.25">
      <c r="A17" s="54" t="s">
        <v>56</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3"/>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470</v>
      </c>
      <c r="B1" s="124"/>
      <c r="C1" s="124"/>
      <c r="D1" s="124"/>
      <c r="E1" s="124"/>
      <c r="F1" s="124"/>
    </row>
    <row r="2" spans="1:6" x14ac:dyDescent="0.25">
      <c r="A2" s="51" t="s">
        <v>471</v>
      </c>
      <c r="B2" s="50" t="s">
        <v>472</v>
      </c>
      <c r="C2" s="50" t="s">
        <v>473</v>
      </c>
      <c r="D2" s="50" t="s">
        <v>474</v>
      </c>
      <c r="E2" s="50" t="s">
        <v>412</v>
      </c>
      <c r="F2" s="50" t="s">
        <v>475</v>
      </c>
    </row>
    <row r="3" spans="1:6" ht="48" customHeight="1" x14ac:dyDescent="0.25">
      <c r="A3" s="104">
        <v>43318</v>
      </c>
      <c r="B3" s="52" t="s">
        <v>476</v>
      </c>
      <c r="C3" s="105" t="s">
        <v>477</v>
      </c>
      <c r="D3" s="105"/>
      <c r="E3" s="52" t="s">
        <v>414</v>
      </c>
      <c r="F3" s="105"/>
    </row>
    <row r="4" spans="1:6" ht="49.5" customHeight="1" x14ac:dyDescent="0.25">
      <c r="A4" s="104">
        <v>43307</v>
      </c>
      <c r="B4" s="52" t="s">
        <v>478</v>
      </c>
      <c r="C4" s="105" t="s">
        <v>479</v>
      </c>
      <c r="D4" s="105"/>
      <c r="E4" s="52" t="s">
        <v>480</v>
      </c>
      <c r="F4" s="105" t="s">
        <v>481</v>
      </c>
    </row>
    <row r="5" spans="1:6" x14ac:dyDescent="0.25">
      <c r="A5" s="53"/>
      <c r="B5" s="52"/>
      <c r="C5" s="106"/>
      <c r="D5" s="106"/>
      <c r="E5" s="52"/>
      <c r="F5" s="106"/>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0" spans="1:6" x14ac:dyDescent="0.25">
      <c r="A20" s="143" t="s">
        <v>482</v>
      </c>
      <c r="B20" s="143"/>
      <c r="C20" s="143"/>
      <c r="D20" s="143"/>
      <c r="E20" s="143"/>
      <c r="F20" s="143"/>
    </row>
    <row r="21" spans="1:6" x14ac:dyDescent="0.25">
      <c r="A21" s="84" t="s">
        <v>471</v>
      </c>
      <c r="B21" s="84" t="s">
        <v>472</v>
      </c>
      <c r="C21" s="84" t="s">
        <v>483</v>
      </c>
      <c r="D21" s="84" t="s">
        <v>484</v>
      </c>
      <c r="E21" s="84" t="s">
        <v>412</v>
      </c>
      <c r="F21" s="84" t="s">
        <v>475</v>
      </c>
    </row>
    <row r="22" spans="1:6" x14ac:dyDescent="0.25">
      <c r="A22" s="107">
        <v>43447</v>
      </c>
      <c r="B22" s="58" t="s">
        <v>485</v>
      </c>
      <c r="C22" s="108" t="s">
        <v>486</v>
      </c>
      <c r="D22" s="108"/>
      <c r="E22" s="58" t="s">
        <v>487</v>
      </c>
      <c r="F22" s="108" t="s">
        <v>488</v>
      </c>
    </row>
    <row r="23" spans="1:6" x14ac:dyDescent="0.25">
      <c r="A23" s="107">
        <v>43445</v>
      </c>
      <c r="B23" s="58" t="s">
        <v>489</v>
      </c>
      <c r="C23" s="108" t="s">
        <v>490</v>
      </c>
      <c r="D23" s="108"/>
      <c r="E23" s="58" t="s">
        <v>480</v>
      </c>
      <c r="F23" s="108" t="s">
        <v>491</v>
      </c>
    </row>
  </sheetData>
  <mergeCells count="2">
    <mergeCell ref="A1:F1"/>
    <mergeCell ref="A20:F20"/>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492</v>
      </c>
      <c r="B1" s="124"/>
      <c r="C1" s="124"/>
      <c r="D1" s="124"/>
      <c r="E1" s="124"/>
      <c r="F1" s="124"/>
      <c r="G1" s="124"/>
      <c r="H1" s="124"/>
      <c r="I1" s="124"/>
      <c r="J1" s="124"/>
      <c r="K1" s="124"/>
      <c r="L1" s="124"/>
      <c r="M1" s="124"/>
      <c r="N1" s="124"/>
    </row>
    <row r="2" spans="1:18" s="1" customFormat="1" ht="25.5" customHeight="1" x14ac:dyDescent="0.25">
      <c r="A2" s="55" t="s">
        <v>493</v>
      </c>
      <c r="B2" s="55" t="s">
        <v>494</v>
      </c>
      <c r="C2" s="55" t="s">
        <v>495</v>
      </c>
      <c r="D2" s="55" t="s">
        <v>496</v>
      </c>
      <c r="E2" s="55" t="s">
        <v>497</v>
      </c>
      <c r="F2" s="55" t="s">
        <v>498</v>
      </c>
      <c r="G2" s="55" t="s">
        <v>499</v>
      </c>
      <c r="H2" s="55" t="s">
        <v>16</v>
      </c>
      <c r="I2" s="55" t="s">
        <v>500</v>
      </c>
      <c r="J2" s="55" t="s">
        <v>501</v>
      </c>
      <c r="K2" s="55" t="s">
        <v>502</v>
      </c>
      <c r="L2" s="55" t="s">
        <v>503</v>
      </c>
      <c r="M2" s="55" t="s">
        <v>19</v>
      </c>
      <c r="N2" s="55" t="s">
        <v>504</v>
      </c>
      <c r="O2" s="3"/>
      <c r="P2" s="110" t="str">
        <f ca="1">Q2</f>
        <v>2019-04-11</v>
      </c>
      <c r="Q2" s="1" t="str">
        <f ca="1">[1]!td(R2-1)</f>
        <v>2019-04-11</v>
      </c>
      <c r="R2" s="3">
        <f ca="1">TODAY()</f>
        <v>43567</v>
      </c>
    </row>
    <row r="3" spans="1:18" ht="15.75" customHeight="1" x14ac:dyDescent="0.25">
      <c r="A3" s="111" t="str">
        <f>[1]!b_info_name(L3)</f>
        <v>19鲁商SCP004</v>
      </c>
      <c r="B3" s="2" t="str">
        <f>[1]!b_issue_firstissue(L3)</f>
        <v>2019-04-15</v>
      </c>
      <c r="C3" s="111">
        <f>[1]!b_info_term(L3)</f>
        <v>0.32879999999999998</v>
      </c>
      <c r="D3" s="112" t="str">
        <f>[1]!issuerrating(L3)</f>
        <v>AA+</v>
      </c>
      <c r="E3" s="112" t="str">
        <f>[1]!b_info_creditrating(L3)</f>
        <v>-</v>
      </c>
      <c r="F3" s="111">
        <f>[1]!b_rate_creditratingagency(L3)</f>
        <v>0</v>
      </c>
      <c r="G3" s="113">
        <f>[1]!b_agency_guarantor(L3)</f>
        <v>0</v>
      </c>
      <c r="H3" s="114" t="s">
        <v>505</v>
      </c>
      <c r="I3" s="66"/>
      <c r="J3" s="115" t="s">
        <v>505</v>
      </c>
      <c r="K3" s="116"/>
      <c r="L3" s="41" t="str">
        <f>公式页!A2</f>
        <v>d19041204.IB</v>
      </c>
      <c r="M3" s="114" t="s">
        <v>505</v>
      </c>
      <c r="N3" s="111">
        <f>[1]!b_agency_leadunderwriter(L3)</f>
        <v>0</v>
      </c>
      <c r="P3" s="109" t="str">
        <f t="shared" ref="P3:P29" ca="1" si="0">$P$2</f>
        <v>2019-04-11</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3.6621999999999999</v>
      </c>
      <c r="K4" s="116">
        <f>K3</f>
        <v>0</v>
      </c>
      <c r="L4" s="4" t="s">
        <v>506</v>
      </c>
      <c r="M4" s="114">
        <f>[1]!b_info_issueamount(L4)/100000000</f>
        <v>5</v>
      </c>
      <c r="N4" s="111" t="str">
        <f>[1]!b_agency_leadunderwriter(L4)</f>
        <v>上海浦东发展银行股份有限公司,中国国际金融股份有限公司</v>
      </c>
      <c r="P4" s="109" t="str">
        <f t="shared" ca="1" si="0"/>
        <v>2019-04-11</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2019-04-11</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2019-04-11</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2019-04-11</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2019-04-11</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2019-04-11</v>
      </c>
    </row>
    <row r="10" spans="1:18" x14ac:dyDescent="0.25">
      <c r="P10" s="109" t="str">
        <f t="shared" ca="1" si="0"/>
        <v>2019-04-11</v>
      </c>
    </row>
    <row r="11" spans="1:18" x14ac:dyDescent="0.25">
      <c r="P11" s="109" t="str">
        <f t="shared" ca="1" si="0"/>
        <v>2019-04-11</v>
      </c>
    </row>
    <row r="12" spans="1:18" x14ac:dyDescent="0.25">
      <c r="A12" s="150" t="s">
        <v>507</v>
      </c>
      <c r="B12" s="124"/>
      <c r="C12" s="124"/>
      <c r="D12" s="124"/>
      <c r="E12" s="124"/>
      <c r="F12" s="124"/>
      <c r="G12" s="124"/>
      <c r="H12" s="124"/>
      <c r="I12" s="124"/>
      <c r="J12" s="124"/>
      <c r="K12" s="124"/>
      <c r="L12" s="124"/>
      <c r="M12" s="124"/>
      <c r="N12" s="124"/>
      <c r="P12" s="109" t="str">
        <f t="shared" ca="1" si="0"/>
        <v>2019-04-11</v>
      </c>
    </row>
    <row r="13" spans="1:18" s="1" customFormat="1" ht="43.2" customHeight="1" x14ac:dyDescent="0.25">
      <c r="A13" s="55" t="s">
        <v>493</v>
      </c>
      <c r="B13" s="55" t="s">
        <v>494</v>
      </c>
      <c r="C13" s="55" t="s">
        <v>495</v>
      </c>
      <c r="D13" s="55" t="s">
        <v>496</v>
      </c>
      <c r="E13" s="55" t="s">
        <v>497</v>
      </c>
      <c r="F13" s="55" t="s">
        <v>498</v>
      </c>
      <c r="G13" s="55" t="s">
        <v>499</v>
      </c>
      <c r="H13" s="55" t="s">
        <v>16</v>
      </c>
      <c r="I13" s="55" t="s">
        <v>500</v>
      </c>
      <c r="J13" s="55" t="s">
        <v>501</v>
      </c>
      <c r="K13" s="55" t="s">
        <v>502</v>
      </c>
      <c r="L13" s="55" t="s">
        <v>503</v>
      </c>
      <c r="M13" s="55" t="s">
        <v>19</v>
      </c>
      <c r="N13" s="55" t="s">
        <v>504</v>
      </c>
      <c r="P13" s="109" t="str">
        <f t="shared" ca="1" si="0"/>
        <v>2019-04-11</v>
      </c>
    </row>
    <row r="14" spans="1:18" ht="15.75" customHeight="1" x14ac:dyDescent="0.25">
      <c r="A14" s="111" t="str">
        <f>[1]!b_info_name(L14)</f>
        <v>19鲁商SCP004</v>
      </c>
      <c r="B14" s="2" t="str">
        <f>[1]!b_issue_firstissue(L14)</f>
        <v>2019-04-15</v>
      </c>
      <c r="C14" s="111">
        <f>[1]!b_info_term(L14)</f>
        <v>0.32879999999999998</v>
      </c>
      <c r="D14" s="112" t="str">
        <f>[1]!issuerrating(L14)</f>
        <v>AA+</v>
      </c>
      <c r="E14" s="112" t="str">
        <f>[1]!b_info_creditrating(L14)</f>
        <v>-</v>
      </c>
      <c r="F14" s="111">
        <f>[1]!b_rate_creditratingagency(L14)</f>
        <v>0</v>
      </c>
      <c r="G14" s="113">
        <f>[1]!b_agency_guarantor(L14)</f>
        <v>0</v>
      </c>
      <c r="H14" s="114" t="s">
        <v>505</v>
      </c>
      <c r="I14" s="66"/>
      <c r="J14" s="115" t="s">
        <v>505</v>
      </c>
      <c r="K14" s="116">
        <f>K3</f>
        <v>0</v>
      </c>
      <c r="L14" s="42" t="str">
        <f>L3</f>
        <v>d19041204.IB</v>
      </c>
      <c r="M14" s="114" t="s">
        <v>505</v>
      </c>
      <c r="N14" s="111">
        <f>[1]!b_agency_leadunderwriter(L14)</f>
        <v>0</v>
      </c>
      <c r="P14" s="109" t="str">
        <f t="shared" ca="1" si="0"/>
        <v>2019-04-11</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508</v>
      </c>
      <c r="M15" s="114">
        <f>[1]!b_info_issueamount(L15)/100000000</f>
        <v>5</v>
      </c>
      <c r="N15" s="111" t="str">
        <f>[1]!b_agency_leadunderwriter(L15)</f>
        <v>招商银行股份有限公司</v>
      </c>
      <c r="O15" t="str">
        <f>[1]!b_issuer_windindustry(L15,4)</f>
        <v>西药</v>
      </c>
      <c r="P15" s="109" t="str">
        <f t="shared" ca="1" si="0"/>
        <v>2019-04-11</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509</v>
      </c>
      <c r="M16" s="114">
        <f>[1]!b_info_issueamount(L16)/100000000</f>
        <v>6</v>
      </c>
      <c r="N16" s="111" t="str">
        <f>[1]!b_agency_leadunderwriter(L16)</f>
        <v>北京银行股份有限公司</v>
      </c>
      <c r="O16" t="str">
        <f>[1]!b_issuer_windindustry(L16,4)</f>
        <v>化肥与农用化工</v>
      </c>
      <c r="P16" s="109" t="str">
        <f t="shared" ca="1" si="0"/>
        <v>2019-04-11</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510</v>
      </c>
      <c r="M17" s="114">
        <f>[1]!b_info_issueamount(L17)/100000000</f>
        <v>3.5</v>
      </c>
      <c r="N17" s="111" t="str">
        <f>[1]!b_agency_leadunderwriter(L17)</f>
        <v>华夏银行股份有限公司</v>
      </c>
      <c r="O17" t="str">
        <f>[1]!b_issuer_windindustry(L17,4)</f>
        <v>食品加工与肉类</v>
      </c>
      <c r="P17" s="109" t="str">
        <f t="shared" ca="1" si="0"/>
        <v>2019-04-11</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511</v>
      </c>
      <c r="M18" s="114">
        <f>[1]!b_info_issueamount(L18)/100000000</f>
        <v>3</v>
      </c>
      <c r="N18" s="111" t="str">
        <f>[1]!b_agency_leadunderwriter(L18)</f>
        <v>兴业银行股份有限公司</v>
      </c>
      <c r="O18" t="str">
        <f>[1]!b_issuer_windindustry(L18,4)</f>
        <v>工业机械</v>
      </c>
      <c r="P18" s="109" t="str">
        <f t="shared" ca="1" si="0"/>
        <v>2019-04-11</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512</v>
      </c>
      <c r="M19" s="114">
        <f>[1]!b_info_issueamount(L19)/100000000</f>
        <v>3</v>
      </c>
      <c r="N19" s="111" t="str">
        <f>[1]!b_agency_leadunderwriter(L19)</f>
        <v>中国银行股份有限公司</v>
      </c>
      <c r="O19" t="str">
        <f>[1]!b_issuer_windindustry(L19,4)</f>
        <v>半导体产品</v>
      </c>
      <c r="P19" s="109" t="str">
        <f t="shared" ca="1" si="0"/>
        <v>2019-04-11</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513</v>
      </c>
      <c r="M20" s="114">
        <f>[1]!b_info_issueamount(L20)/100000000</f>
        <v>5</v>
      </c>
      <c r="N20" s="111" t="str">
        <f>[1]!b_agency_leadunderwriter(L20)</f>
        <v>中国银行股份有限公司</v>
      </c>
      <c r="O20" t="str">
        <f>[1]!b_issuer_windindustry(L20,4)</f>
        <v>医疗保健用品</v>
      </c>
      <c r="P20" s="109" t="str">
        <f t="shared" ca="1" si="0"/>
        <v>2019-04-11</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514</v>
      </c>
      <c r="M21" s="114">
        <f>[1]!b_info_issueamount(L21)/100000000</f>
        <v>2</v>
      </c>
      <c r="N21" s="111" t="str">
        <f>[1]!b_agency_leadunderwriter(L21)</f>
        <v>中国银行股份有限公司</v>
      </c>
      <c r="O21" t="str">
        <f>[1]!b_issuer_windindustry(L21,4)</f>
        <v>食品加工与肉类</v>
      </c>
      <c r="P21" s="109" t="str">
        <f t="shared" ca="1" si="0"/>
        <v>2019-04-11</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515</v>
      </c>
      <c r="M22" s="114">
        <f>[1]!b_info_issueamount(L22)/100000000</f>
        <v>4</v>
      </c>
      <c r="N22" s="111" t="str">
        <f>[1]!b_agency_leadunderwriter(L22)</f>
        <v>中国工商银行股份有限公司</v>
      </c>
      <c r="O22" t="str">
        <f>[1]!b_issuer_windindustry(L22,4)</f>
        <v>酒店、度假村与豪华游轮</v>
      </c>
      <c r="P22" s="109" t="str">
        <f t="shared" ca="1" si="0"/>
        <v>2019-04-11</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516</v>
      </c>
      <c r="M23" s="114">
        <f>[1]!b_info_issueamount(L23)/100000000</f>
        <v>4</v>
      </c>
      <c r="N23" s="111" t="str">
        <f>[1]!b_agency_leadunderwriter(L23)</f>
        <v>中国银行股份有限公司</v>
      </c>
      <c r="O23" t="str">
        <f>[1]!b_issuer_windindustry(L23,4)</f>
        <v>金属非金属</v>
      </c>
      <c r="P23" s="109" t="str">
        <f t="shared" ca="1" si="0"/>
        <v>2019-04-11</v>
      </c>
    </row>
    <row r="24" spans="1:16" x14ac:dyDescent="0.25">
      <c r="P24" s="109" t="str">
        <f t="shared" ca="1" si="0"/>
        <v>2019-04-11</v>
      </c>
    </row>
    <row r="25" spans="1:16" x14ac:dyDescent="0.25">
      <c r="P25" s="109" t="str">
        <f t="shared" ca="1" si="0"/>
        <v>2019-04-11</v>
      </c>
    </row>
    <row r="26" spans="1:16" x14ac:dyDescent="0.25">
      <c r="P26" s="109" t="str">
        <f t="shared" ca="1" si="0"/>
        <v>2019-04-11</v>
      </c>
    </row>
    <row r="27" spans="1:16" x14ac:dyDescent="0.25">
      <c r="P27" s="109" t="str">
        <f t="shared" ca="1" si="0"/>
        <v>2019-04-11</v>
      </c>
    </row>
    <row r="28" spans="1:16" x14ac:dyDescent="0.25">
      <c r="P28" s="109" t="str">
        <f t="shared" ca="1" si="0"/>
        <v>2019-04-11</v>
      </c>
    </row>
    <row r="29" spans="1:16" x14ac:dyDescent="0.25">
      <c r="P29" s="109" t="str">
        <f t="shared" ca="1" si="0"/>
        <v>2019-04-11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2019-04-12T08:17:45Z</dcterms:modified>
</cp:coreProperties>
</file>