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B897927D-F703-479F-94BA-D137CDAC46E9}"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23" i="6"/>
  <c r="N21" i="6"/>
  <c r="H20" i="6"/>
  <c r="E19" i="6"/>
  <c r="B18" i="6"/>
  <c r="O16" i="6"/>
  <c r="D14" i="6"/>
  <c r="F8" i="6"/>
  <c r="G7" i="6"/>
  <c r="H6" i="6"/>
  <c r="F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M22" i="6"/>
  <c r="G21" i="6"/>
  <c r="D20" i="6"/>
  <c r="A19" i="6"/>
  <c r="N17" i="6"/>
  <c r="H16" i="6"/>
  <c r="E15" i="6"/>
  <c r="E9" i="6"/>
  <c r="B8" i="6"/>
  <c r="C7" i="6"/>
  <c r="D6" i="6"/>
  <c r="E5" i="6"/>
  <c r="B4" i="6"/>
  <c r="D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F22" i="6"/>
  <c r="C21" i="6"/>
  <c r="M18" i="6"/>
  <c r="G17" i="6"/>
  <c r="D16" i="6"/>
  <c r="A15" i="6"/>
  <c r="A9" i="6"/>
  <c r="M7" i="6"/>
  <c r="N6" i="6"/>
  <c r="A5" i="6"/>
  <c r="A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E23" i="6"/>
  <c r="B22" i="6"/>
  <c r="O20" i="6"/>
  <c r="F18" i="6"/>
  <c r="C17"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2" i="6"/>
  <c r="B97" i="1"/>
  <c r="M96" i="1"/>
  <c r="E96" i="1"/>
  <c r="F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Q96" i="1"/>
  <c r="L96" i="1"/>
  <c r="D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P96" i="1"/>
  <c r="J96" i="1"/>
  <c r="B96"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O96" i="1"/>
  <c r="F96" i="1"/>
  <c r="G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G27" i="1"/>
  <c r="L26" i="1"/>
  <c r="R25" i="1"/>
  <c r="G25" i="1"/>
  <c r="P24" i="1"/>
  <c r="E24" i="1"/>
  <c r="N23" i="1"/>
  <c r="C23" i="1"/>
  <c r="D22" i="1"/>
  <c r="Q21" i="1"/>
  <c r="M21" i="1"/>
  <c r="F21" i="1"/>
  <c r="B21" i="1"/>
  <c r="O20" i="1"/>
  <c r="J20" i="1"/>
  <c r="D20" i="1"/>
  <c r="Q19" i="1"/>
  <c r="M19" i="1"/>
  <c r="F19" i="1"/>
  <c r="B19" i="1"/>
  <c r="D18" i="1"/>
  <c r="Q17" i="1"/>
  <c r="M17" i="1"/>
  <c r="F17" i="1"/>
  <c r="B17" i="1"/>
  <c r="O16" i="1"/>
  <c r="E16" i="1"/>
  <c r="R15" i="1"/>
  <c r="N15" i="1"/>
  <c r="G15" i="1"/>
  <c r="C15" i="1"/>
  <c r="E14" i="1"/>
  <c r="F11" i="1"/>
  <c r="F9" i="1"/>
  <c r="F7" i="1"/>
  <c r="B5" i="1"/>
  <c r="B11" i="1"/>
  <c r="B7" i="1"/>
  <c r="E4" i="1"/>
  <c r="B4" i="1"/>
  <c r="C27" i="1"/>
  <c r="G26" i="1"/>
  <c r="P25" i="1"/>
  <c r="E25" i="1"/>
  <c r="N24" i="1"/>
  <c r="C24" i="1"/>
  <c r="L23" i="1"/>
  <c r="B23" i="1"/>
  <c r="G22" i="1"/>
  <c r="C22" i="1"/>
  <c r="P21" i="1"/>
  <c r="L21" i="1"/>
  <c r="E21" i="1"/>
  <c r="R20" i="1"/>
  <c r="N20" i="1"/>
  <c r="G20" i="1"/>
  <c r="C20" i="1"/>
  <c r="P19" i="1"/>
  <c r="L19" i="1"/>
  <c r="E19" i="1"/>
  <c r="G18" i="1"/>
  <c r="C18" i="1"/>
  <c r="P17" i="1"/>
  <c r="L17" i="1"/>
  <c r="E17" i="1"/>
  <c r="R16" i="1"/>
  <c r="J16" i="1"/>
  <c r="D16" i="1"/>
  <c r="Q15" i="1"/>
  <c r="M15" i="1"/>
  <c r="F15" i="1"/>
  <c r="B15" i="1"/>
  <c r="D14" i="1"/>
  <c r="B9" i="1"/>
  <c r="P26" i="1"/>
  <c r="E26" i="1"/>
  <c r="N25" i="1"/>
  <c r="C25" i="1"/>
  <c r="L24" i="1"/>
  <c r="R23" i="1"/>
  <c r="G23" i="1"/>
  <c r="F22" i="1"/>
  <c r="B22" i="1"/>
  <c r="O21" i="1"/>
  <c r="J21" i="1"/>
  <c r="D21" i="1"/>
  <c r="Q20" i="1"/>
  <c r="M20" i="1"/>
  <c r="F20" i="1"/>
  <c r="B20" i="1"/>
  <c r="O19" i="1"/>
  <c r="J19" i="1"/>
  <c r="D19" i="1"/>
  <c r="F18" i="1"/>
  <c r="B18" i="1"/>
  <c r="O17" i="1"/>
  <c r="J17" i="1"/>
  <c r="D17" i="1"/>
  <c r="Q16" i="1"/>
  <c r="G16" i="1"/>
  <c r="C16" i="1"/>
  <c r="P15" i="1"/>
  <c r="L15" i="1"/>
  <c r="E15" i="1"/>
  <c r="G14" i="1"/>
  <c r="C14" i="1"/>
  <c r="F10" i="1"/>
  <c r="F8" i="1"/>
  <c r="B6" i="1"/>
  <c r="N26" i="1"/>
  <c r="C26" i="1"/>
  <c r="L25" i="1"/>
  <c r="R24" i="1"/>
  <c r="G24" i="1"/>
  <c r="P23" i="1"/>
  <c r="E23" i="1"/>
  <c r="E22" i="1"/>
  <c r="R21" i="1"/>
  <c r="N21" i="1"/>
  <c r="G21" i="1"/>
  <c r="C21" i="1"/>
  <c r="P20" i="1"/>
  <c r="L20" i="1"/>
  <c r="E20" i="1"/>
  <c r="R19" i="1"/>
  <c r="N19" i="1"/>
  <c r="G19" i="1"/>
  <c r="C19" i="1"/>
  <c r="E18" i="1"/>
  <c r="R17" i="1"/>
  <c r="N17" i="1"/>
  <c r="G17" i="1"/>
  <c r="C17" i="1"/>
  <c r="P16" i="1"/>
  <c r="F16" i="1"/>
  <c r="B16" i="1"/>
  <c r="O15" i="1"/>
  <c r="J15" i="1"/>
  <c r="D15" i="1"/>
  <c r="F14" i="1"/>
  <c r="B14" i="1"/>
  <c r="B10" i="1"/>
  <c r="B8" i="1"/>
  <c r="E5" i="1"/>
  <c r="O22" i="1" l="1"/>
  <c r="J22" i="1"/>
  <c r="P22" i="1"/>
  <c r="L22" i="1"/>
  <c r="Q22" i="1"/>
  <c r="M22" i="1"/>
  <c r="P2" i="6"/>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J4" i="6"/>
  <c r="P29" i="6" l="1"/>
  <c r="P25" i="6"/>
  <c r="P21" i="6"/>
  <c r="P17" i="6"/>
  <c r="P11" i="6"/>
  <c r="P7" i="6"/>
  <c r="P3" i="6"/>
  <c r="P28" i="6"/>
  <c r="P24" i="6"/>
  <c r="P20" i="6"/>
  <c r="P16" i="6"/>
  <c r="P10" i="6"/>
  <c r="P6" i="6"/>
  <c r="P26" i="6"/>
  <c r="P22" i="6"/>
  <c r="P18" i="6"/>
  <c r="P14" i="6"/>
  <c r="P12" i="6"/>
  <c r="P8" i="6"/>
  <c r="P4" i="6"/>
  <c r="P27" i="6"/>
  <c r="P23" i="6"/>
  <c r="P13" i="6"/>
  <c r="P19" i="6"/>
  <c r="P9" i="6"/>
  <c r="P5" i="6"/>
  <c r="P15" i="6"/>
  <c r="J19" i="6"/>
  <c r="J20" i="6"/>
  <c r="J6" i="6"/>
  <c r="J21" i="6"/>
  <c r="J23" i="6"/>
  <c r="J18" i="6"/>
  <c r="J8" i="6"/>
  <c r="J16" i="6"/>
  <c r="J17" i="6"/>
  <c r="J9" i="6"/>
  <c r="J22" i="6"/>
  <c r="J7" i="6"/>
  <c r="J5" i="6"/>
  <c r="J15" i="6"/>
</calcChain>
</file>

<file path=xl/sharedStrings.xml><?xml version="1.0" encoding="utf-8"?>
<sst xmlns="http://schemas.openxmlformats.org/spreadsheetml/2006/main" count="575" uniqueCount="231">
  <si>
    <t>q19041107.IB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</si>
  <si>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</si>
  <si>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</si>
  <si>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</si>
  <si>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</si>
  <si>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</si>
  <si>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</si>
  <si>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</si>
  <si>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</si>
  <si>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</si>
  <si>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</si>
  <si>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</si>
  <si>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</si>
  <si>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</si>
  <si>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</si>
  <si>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</si>
  <si>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</si>
  <si>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</si>
  <si>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</si>
  <si>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</si>
  <si>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</si>
  <si>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</si>
  <si>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</si>
  <si>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031560095.IB</t>
  </si>
  <si>
    <t>主体级别</t>
  </si>
  <si>
    <t>AA+</t>
  </si>
  <si>
    <t>114391.SZ</t>
  </si>
  <si>
    <t>*选择性黏贴</t>
  </si>
  <si>
    <t>1880036.IB</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</si>
  <si>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</si>
  <si>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</si>
  <si>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</si>
  <si>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</si>
  <si>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</si>
  <si>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</si>
  <si>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</si>
  <si>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</si>
  <si>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</si>
  <si>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</si>
  <si>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</si>
  <si>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</si>
  <si>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</si>
  <si>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</si>
  <si>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</si>
  <si>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</si>
  <si>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</si>
  <si>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</si>
  <si>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</si>
  <si>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</si>
  <si>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</si>
  <si>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</si>
  <si>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</si>
  <si>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</si>
  <si>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</si>
  <si>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</si>
  <si>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</si>
  <si>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</si>
  <si>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</si>
  <si>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</si>
  <si>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</si>
  <si>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</si>
  <si>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</si>
  <si>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</si>
  <si>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</si>
  <si>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</si>
  <si>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</si>
  <si>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</si>
  <si>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</si>
  <si>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</si>
  <si>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</si>
  <si>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</si>
  <si>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</si>
  <si>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</si>
  <si>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</si>
  <si>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</si>
  <si>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</si>
  <si>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</si>
  <si>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</si>
  <si>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</si>
  <si>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</si>
  <si>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</si>
  <si>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</si>
  <si>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</si>
  <si>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</si>
  <si>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</si>
  <si>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</si>
  <si>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</si>
  <si>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</si>
  <si>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</si>
  <si>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</si>
  <si>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</si>
  <si>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</si>
  <si>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</si>
  <si>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</si>
  <si>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</si>
  <si>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</si>
  <si>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</si>
  <si>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</si>
  <si>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</si>
  <si>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</si>
  <si>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</si>
  <si>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</si>
  <si>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</si>
  <si>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</si>
  <si>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</si>
  <si>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</si>
  <si>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</si>
  <si>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</si>
  <si>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</si>
  <si>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</si>
  <si>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</si>
  <si>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</si>
  <si>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</si>
  <si>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</si>
  <si>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</si>
  <si>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</si>
  <si>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</si>
  <si>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041900135.IB</t>
  </si>
  <si>
    <t>20190328</t>
  </si>
  <si>
    <t>19哈尔滨投CP001</t>
  </si>
  <si>
    <t>101801432.IB</t>
  </si>
  <si>
    <t>20181205</t>
  </si>
  <si>
    <t>18哈尔滨投MTN001</t>
  </si>
  <si>
    <t>011801699.IB</t>
  </si>
  <si>
    <t>20180828</t>
  </si>
  <si>
    <t>18哈尔滨投SCP001</t>
  </si>
  <si>
    <t>011762104.IB</t>
  </si>
  <si>
    <t>20171204</t>
  </si>
  <si>
    <t>17哈尔滨投SCP002</t>
  </si>
  <si>
    <t>011762083.IB</t>
  </si>
  <si>
    <t>20171023</t>
  </si>
  <si>
    <t>17哈尔滨投SCP001</t>
  </si>
  <si>
    <t>041664046.IB</t>
  </si>
  <si>
    <t>20161103</t>
  </si>
  <si>
    <t>16哈尔滨投CP001</t>
  </si>
  <si>
    <t>101664042.IB</t>
  </si>
  <si>
    <t>20160725</t>
  </si>
  <si>
    <t>16哈尔滨投MTN001</t>
  </si>
  <si>
    <t>136068.SH</t>
  </si>
  <si>
    <t>20151208</t>
  </si>
  <si>
    <t>15哈投02</t>
  </si>
  <si>
    <t>122499.SH</t>
  </si>
  <si>
    <t>20151020</t>
  </si>
  <si>
    <t>15哈投01</t>
  </si>
  <si>
    <t>101464002.IB</t>
  </si>
  <si>
    <t>20140124</t>
  </si>
  <si>
    <t>14哈投集MTN001</t>
  </si>
  <si>
    <t>1382129.IB</t>
  </si>
  <si>
    <t>20130326</t>
  </si>
  <si>
    <t>13哈投集MTN1</t>
  </si>
  <si>
    <t>历史主体评级</t>
  </si>
  <si>
    <t>发布日期</t>
  </si>
  <si>
    <t>主体资信级别</t>
  </si>
  <si>
    <t>评级展望</t>
  </si>
  <si>
    <t>评级机构</t>
  </si>
  <si>
    <t>20190327</t>
  </si>
  <si>
    <t>稳定</t>
  </si>
  <si>
    <t>联合资信评估有限公司</t>
  </si>
  <si>
    <t>20181126</t>
  </si>
  <si>
    <t>大公国际资信评估有限公司</t>
  </si>
  <si>
    <t>20180921</t>
  </si>
  <si>
    <t>20180627</t>
  </si>
  <si>
    <t>20170627</t>
  </si>
  <si>
    <t>20170427</t>
  </si>
  <si>
    <t>20161024</t>
  </si>
  <si>
    <t>20160926</t>
  </si>
  <si>
    <t>20160627</t>
  </si>
  <si>
    <t>20151216</t>
  </si>
  <si>
    <t>20151125</t>
  </si>
  <si>
    <t>20150626</t>
  </si>
  <si>
    <t>20150529</t>
  </si>
  <si>
    <t>20140725</t>
  </si>
  <si>
    <t>负面</t>
  </si>
  <si>
    <t>20130801</t>
  </si>
  <si>
    <t>20130718</t>
  </si>
  <si>
    <t>20130115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</si>
  <si>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</si>
  <si>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</si>
  <si>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</si>
  <si>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</si>
  <si>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</si>
  <si>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</si>
  <si>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</si>
  <si>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</si>
  <si>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</si>
  <si>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</si>
  <si>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绥芬河海融城市建设投资发展有限公司</t>
  </si>
  <si>
    <t>AA-负面上调至AA-稳定</t>
  </si>
  <si>
    <t>中证鹏元资信评估股份有限公司</t>
  </si>
  <si>
    <t>政府回购持续性好，政府支持较好。</t>
  </si>
  <si>
    <t>哈尔滨市城市建设投资集团有限公司</t>
  </si>
  <si>
    <t>AA稳定上调至AA+稳定</t>
  </si>
  <si>
    <t>哈尔滨市经济保持稳步发展态势，整体财政实力较强，为公司提供了良好的外部环境。公司作为哈尔滨市重要的基础设施建设主体，跟踪期内持续获得政府在重点项目拨款、政府财政补贴及地方政府债务置换等方面的支持。受益于政府债务置换，跟踪期内公司有息债务规模明显减少，整体负债处于较低水平。公司房屋开发销售业务发展向好，带动收入规模大幅增加。</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</si>
  <si>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</si>
  <si>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</si>
  <si>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</si>
  <si>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</si>
  <si>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</si>
  <si>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</si>
  <si>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</si>
  <si>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</si>
  <si>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</si>
  <si>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</si>
  <si>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</si>
  <si>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</si>
  <si>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</si>
  <si>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</si>
  <si>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</si>
  <si>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</si>
  <si>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</si>
  <si>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</si>
  <si>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</si>
  <si>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</si>
  <si>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</si>
  <si>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</si>
  <si>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</si>
  <si>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</si>
  <si>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</si>
  <si>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</si>
  <si>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</si>
  <si>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</si>
  <si>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哈尔滨投资集团有限责任公司</t>
  </si>
  <si>
    <t>地方国有企业</t>
  </si>
  <si>
    <t>金融--多元金融--多元金融服务--多领域控股</t>
  </si>
  <si>
    <t>黑龙江省哈尔滨市南岗区汉水路172号</t>
  </si>
  <si>
    <t>哈尔滨投资集团有限责任公司的前身是哈尔滨市投资公司，成立于1988年8月，隶属于原市计委，为正局级事业单位。2003年4月，市投资公司与隶属于原市计委的市热电开发建设领导小组办公室合并组建哈投集团。2004年10月，哈投集团退出事业编制，整体转为企业。2005年，市政府将哈投集团列为市政府直属企业，主要职责是市政府重大项目投融资综合平台和重要的国有资产经营管理机构。公司作为哈尔滨市最大的国有资产管理公司之一,在对哈尔滨老牌国有企业进行改制重组的过程中发挥了巨大的作用,在哈尔滨市国有经济中有着重要的地位,获得了哈尔滨市政府的大力支持.</t>
  </si>
  <si>
    <t>哈尔滨市人民政府国有资产监督管理委员会</t>
  </si>
  <si>
    <t/>
  </si>
  <si>
    <t>A-1</t>
  </si>
  <si>
    <t>黑龙江省高速公路集团公司</t>
  </si>
  <si>
    <t>大庆市城市建设投资开发有限公司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</si>
</sst>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哈尔滨投资集团有限责任公司</v>
      </c>
      <c r="C4" s="117"/>
      <c r="D4" s="57" t="s">
        <v>3</v>
      </c>
      <c r="E4" s="116" t="str">
        <f>[1]!s_info_nature(A2)</f>
        <v>地方国有企业</v>
      </c>
      <c r="F4" s="117"/>
      <c r="G4" s="117"/>
      <c r="H4" s="19"/>
    </row>
    <row r="5" spans="1:20" s="17" customFormat="1" ht="14.25" customHeight="1" x14ac:dyDescent="0.25">
      <c r="A5" s="57" t="s">
        <v>4</v>
      </c>
      <c r="B5" s="116" t="str">
        <f>[1]!b_issuer_windindustry(A2,9)</f>
        <v>金融--多元金融--多元金融服务--多领域控股</v>
      </c>
      <c r="C5" s="117"/>
      <c r="D5" s="57" t="s">
        <v>5</v>
      </c>
      <c r="E5" s="116" t="str">
        <f>[1]!b_issuer_regaddress(A2)</f>
        <v>黑龙江省哈尔滨市南岗区汉水路172号</v>
      </c>
      <c r="F5" s="117"/>
      <c r="G5" s="117"/>
    </row>
    <row r="6" spans="1:20" s="17" customFormat="1" ht="81" customHeight="1" x14ac:dyDescent="0.25">
      <c r="A6" s="57" t="s">
        <v>6</v>
      </c>
      <c r="B6" s="118" t="str">
        <f>[1]!s_info_briefing(A2)</f>
        <v>哈尔滨投资集团有限责任公司的前身是哈尔滨市投资公司，成立于1988年8月，隶属于原市计委，为正局级事业单位。2003年4月，市投资公司与隶属于原市计委的市热电开发建设领导小组办公室合并组建哈投集团。2004年10月，哈投集团退出事业编制，整体转为企业。2005年，市政府将哈投集团列为市政府直属企业，主要职责是市政府重大项目投融资综合平台和重要的国有资产经营管理机构。公司作为哈尔滨市最大的国有资产管理公司之一,在对哈尔滨老牌国有企业进行改制重组的过程中发挥了巨大的作用,在哈尔滨市国有经济中有着重要的地位,获得了哈尔滨市政府的大力支持.</v>
      </c>
      <c r="C6" s="117"/>
      <c r="D6" s="117"/>
      <c r="E6" s="117"/>
      <c r="F6" s="117"/>
      <c r="G6" s="117"/>
    </row>
    <row r="7" spans="1:20" s="17" customFormat="1" x14ac:dyDescent="0.25">
      <c r="A7" s="58" t="s">
        <v>7</v>
      </c>
      <c r="B7" s="119" t="str">
        <f>[1]!b_issuer_shareholder(A2,"",1)</f>
        <v>哈尔滨市人民政府国有资产监督管理委员会</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q19041107.IB</v>
      </c>
      <c r="K14" s="26"/>
      <c r="L14" s="27" t="str">
        <f>T15</f>
        <v>031560095.IB</v>
      </c>
      <c r="M14" s="27" t="str">
        <f>T16</f>
        <v>114391.SZ</v>
      </c>
      <c r="N14" s="27" t="str">
        <f>T17</f>
        <v>1880036.IB</v>
      </c>
      <c r="O14" s="27">
        <f>T18</f>
        <v>0</v>
      </c>
      <c r="P14" s="27">
        <f>T19</f>
        <v>0</v>
      </c>
      <c r="Q14" s="27">
        <f>T20</f>
        <v>0</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哈尔滨投资集团有限责任公司</v>
      </c>
      <c r="K15" s="135"/>
      <c r="L15" s="8" t="str">
        <f>[1]!b_info_issuer(L14)</f>
        <v>黑龙江省高速公路集团公司</v>
      </c>
      <c r="M15" s="8" t="str">
        <f>[1]!b_info_issuer(M14)</f>
        <v>大庆市城市建设投资开发有限公司</v>
      </c>
      <c r="N15" s="8" t="str">
        <f>[1]!b_info_issuer(N14)</f>
        <v>哈尔滨市城市建设投资集团有限公司</v>
      </c>
      <c r="O15" s="8">
        <f>[1]!b_info_issuer(O14)</f>
        <v>0</v>
      </c>
      <c r="P15" s="8">
        <f>[1]!b_info_issuer(P14)</f>
        <v>0</v>
      </c>
      <c r="Q15" s="8">
        <f>[1]!b_info_issuer(Q14)</f>
        <v>0</v>
      </c>
      <c r="R15" s="8">
        <f>[1]!b_info_issuer(R14)</f>
        <v>0</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f>[1]!b_info_latestissurercreditrating(O14)</f>
        <v>0</v>
      </c>
      <c r="P16" s="65">
        <f>[1]!b_info_latestissurercreditrating(P14)</f>
        <v>0</v>
      </c>
      <c r="Q16" s="65">
        <f>[1]!b_info_latestissurercreditrating(Q14)</f>
        <v>0</v>
      </c>
      <c r="R16" s="65">
        <f>[1]!b_info_latestissurercreditrating(R14)</f>
        <v>0</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f>[1]!s_info_nature(O14)</f>
        <v>0</v>
      </c>
      <c r="P17" s="66">
        <f>[1]!s_info_nature(P14)</f>
        <v>0</v>
      </c>
      <c r="Q17" s="66">
        <f>[1]!s_info_nature(Q14)</f>
        <v>0</v>
      </c>
      <c r="R17" s="66">
        <f>[1]!s_info_nature(R14)</f>
        <v>0</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31</v>
      </c>
      <c r="J19" s="67">
        <f>[1]!b_stm07_bs(J14,74,J13,1)/100000000</f>
        <v>732.21891070729998</v>
      </c>
      <c r="K19" s="121"/>
      <c r="L19" s="67">
        <f>[1]!b_stm07_bs(L14,74,L13,1)/100000000</f>
        <v>560.45141880410006</v>
      </c>
      <c r="M19" s="67">
        <f>[1]!b_stm07_bs(M14,74,M13,1)/100000000</f>
        <v>616.84709002519992</v>
      </c>
      <c r="N19" s="67">
        <f>[1]!b_stm07_bs(N14,74,N13,1)/100000000</f>
        <v>2332.9896504267999</v>
      </c>
      <c r="O19" s="67">
        <f>[1]!b_stm07_bs(O14,74,O13,1)/100000000</f>
        <v>0</v>
      </c>
      <c r="P19" s="67">
        <f>[1]!b_stm07_bs(P14,74,P13,1)/100000000</f>
        <v>0</v>
      </c>
      <c r="Q19" s="67">
        <f>[1]!b_stm07_bs(Q14,74,Q13,1)/100000000</f>
        <v>0</v>
      </c>
      <c r="R19" s="67">
        <f>[1]!b_stm07_bs(R14,74,R13,1)/100000000</f>
        <v>0</v>
      </c>
      <c r="T19" s="6"/>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32</v>
      </c>
      <c r="J20" s="10">
        <f>[1]!s_fa_debttoassets(J14,J13)/100</f>
        <v>0.59955999999999998</v>
      </c>
      <c r="K20" s="121"/>
      <c r="L20" s="10">
        <f>[1]!s_fa_debttoassets(L14,L13)/100</f>
        <v>0.49618600000000002</v>
      </c>
      <c r="M20" s="10">
        <f>[1]!s_fa_debttoassets(M14,M13)/100</f>
        <v>0.47465000000000002</v>
      </c>
      <c r="N20" s="10">
        <f>[1]!s_fa_debttoassets(N14,N13)/100</f>
        <v>0.221917</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33</v>
      </c>
      <c r="J21" s="67">
        <f>[1]!s_fa_current(J14,J13)</f>
        <v>1.4092</v>
      </c>
      <c r="K21" s="121"/>
      <c r="L21" s="67">
        <f>[1]!s_fa_current(L14,L13)</f>
        <v>1.2819</v>
      </c>
      <c r="M21" s="67">
        <f>[1]!s_fa_current(M14,M13)</f>
        <v>10.7788</v>
      </c>
      <c r="N21" s="67">
        <f>[1]!s_fa_current(N14,N13)</f>
        <v>4.8826999999999998</v>
      </c>
      <c r="O21" s="67">
        <f>[1]!s_fa_current(O14,O13)</f>
        <v>0</v>
      </c>
      <c r="P21" s="67">
        <f>[1]!s_fa_current(P14,P13)</f>
        <v>0</v>
      </c>
      <c r="Q21" s="67">
        <f>[1]!s_fa_current(Q14,Q13)</f>
        <v>0</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34</v>
      </c>
      <c r="J22" s="65">
        <f>(J96+J97+J98+J99+J100+J101)/J103</f>
        <v>0.37422872364487719</v>
      </c>
      <c r="K22" s="121"/>
      <c r="L22" s="65">
        <f>(公式页!L96+公式页!L97+公式页!L98+公式页!L99+公式页!L100+公式页!L101)/公式页!L103</f>
        <v>0.37236058464116234</v>
      </c>
      <c r="M22" s="65">
        <f t="shared" ref="M22:R22" si="0">(M96+M97+M98+M99+M100+M101)/M103</f>
        <v>0.69823844179520478</v>
      </c>
      <c r="N22" s="65">
        <f t="shared" si="0"/>
        <v>4.5230633291464761E-2</v>
      </c>
      <c r="O22" s="65" t="e">
        <f t="shared" si="0"/>
        <v>#DIV/0!</v>
      </c>
      <c r="P22" s="65" t="e">
        <f t="shared" si="0"/>
        <v>#DIV/0!</v>
      </c>
      <c r="Q22" s="65" t="e">
        <f t="shared" si="0"/>
        <v>#DIV/0!</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35</v>
      </c>
      <c r="J23" s="67">
        <f>[1]!s_fa_ebitdatodebt(J14,J13)</f>
        <v>3.5400000000000001E-2</v>
      </c>
      <c r="K23" s="121"/>
      <c r="L23" s="67">
        <f>[1]!s_fa_ebitdatodebt(L14,L13)</f>
        <v>-1.5800000000000002E-2</v>
      </c>
      <c r="M23" s="67">
        <f>[1]!s_fa_ebitdatodebt(M14,M13)</f>
        <v>4.48E-2</v>
      </c>
      <c r="N23" s="67">
        <f>[1]!s_fa_ebitdatodebt(N14,N13)</f>
        <v>1.2E-2</v>
      </c>
      <c r="O23" s="67">
        <f>[1]!s_fa_ebitdatodebt(O14,O13)</f>
        <v>0</v>
      </c>
      <c r="P23" s="67">
        <f>[1]!s_fa_ebitdatodebt(P14,P13)</f>
        <v>0</v>
      </c>
      <c r="Q23" s="67">
        <f>[1]!s_fa_ebitdatodebt(Q14,Q13)</f>
        <v>0</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36</v>
      </c>
      <c r="J24" s="67">
        <f>[1]!b_stm07_is(J14,9,J13,1)/100000000</f>
        <v>43.799814238900005</v>
      </c>
      <c r="K24" s="121"/>
      <c r="L24" s="67">
        <f>[1]!b_stm07_is(L14,9,L13,1)/100000000</f>
        <v>37.790707419699999</v>
      </c>
      <c r="M24" s="67">
        <f>[1]!b_stm07_is(M14,9,M13,1)/100000000</f>
        <v>17.560473624300002</v>
      </c>
      <c r="N24" s="67">
        <f>[1]!b_stm07_is(N14,9,N13,1)/100000000</f>
        <v>23.121479350300003</v>
      </c>
      <c r="O24" s="67">
        <f>[1]!b_stm07_is(O14,9,O13,1)/100000000</f>
        <v>0</v>
      </c>
      <c r="P24" s="67">
        <f>[1]!b_stm07_is(P14,9,P13,1)/100000000</f>
        <v>0</v>
      </c>
      <c r="Q24" s="67">
        <f>[1]!b_stm07_is(Q14,9,Q13,1)/100000000</f>
        <v>0</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37</v>
      </c>
      <c r="J25" s="11">
        <f>[1]!s_fa_salescashintoor(J14,J13)%</f>
        <v>0.71240000000000014</v>
      </c>
      <c r="K25" s="121"/>
      <c r="L25" s="11">
        <f>[1]!s_fa_salescashintoor(L14,L13)%</f>
        <v>0.60709999999999997</v>
      </c>
      <c r="M25" s="11">
        <f>[1]!s_fa_salescashintoor(M14,M13)%</f>
        <v>1.0668</v>
      </c>
      <c r="N25" s="11">
        <f>[1]!s_fa_salescashintoor(N14,N13)%</f>
        <v>0.60509999999999997</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38</v>
      </c>
      <c r="J26" s="11">
        <f>[1]!s_fa_grossprofitmargin(J14,J13)%</f>
        <v>0.25086900000000001</v>
      </c>
      <c r="K26" s="121"/>
      <c r="L26" s="11">
        <f>[1]!s_fa_grossprofitmargin(L14,L13)%</f>
        <v>0.39391300000000001</v>
      </c>
      <c r="M26" s="11">
        <f>[1]!s_fa_grossprofitmargin(M14,M13)%</f>
        <v>-0.20728200000000002</v>
      </c>
      <c r="N26" s="11">
        <f>[1]!s_fa_grossprofitmargin(N14,N13)%</f>
        <v>-4.2335000000000005E-2</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39</v>
      </c>
      <c r="J27" s="68">
        <f>[1]!b_stm07_is(J14,60,J13,1)/100000000</f>
        <v>8.3038382637999995</v>
      </c>
      <c r="K27" s="121"/>
      <c r="L27" s="68">
        <f>[1]!b_stm07_is(L14,60,L13,1)/100000000</f>
        <v>-8.6735462771999998</v>
      </c>
      <c r="M27" s="68">
        <f>[1]!b_stm07_is(M14,60,M13,1)/100000000</f>
        <v>7.8458717688999995</v>
      </c>
      <c r="N27" s="68">
        <f>[1]!b_stm07_is(N14,60,N13,1)/100000000</f>
        <v>2.5886338909000002</v>
      </c>
      <c r="O27" s="68">
        <f>[1]!b_stm07_is(O14,60,O13,1)/100000000</f>
        <v>0</v>
      </c>
      <c r="P27" s="68">
        <f>[1]!b_stm07_is(P14,60,P13,1)/100000000</f>
        <v>0</v>
      </c>
      <c r="Q27" s="68">
        <f>[1]!b_stm07_is(Q14,60,Q13,1)/100000000</f>
        <v>0</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40</v>
      </c>
      <c r="I28" s="54" t="s">
        <v>41</v>
      </c>
      <c r="J28" s="10">
        <f>[1]!s_fa_roe(J14,J13)%</f>
        <v>2.8081000000000002E-2</v>
      </c>
      <c r="K28" s="121"/>
      <c r="L28" s="10">
        <f>[1]!s_fa_roe(L14,L13)%</f>
        <v>-4.2729999999999997E-2</v>
      </c>
      <c r="M28" s="10">
        <f>[1]!s_fa_roe(M14,M13)%</f>
        <v>2.3782999999999999E-2</v>
      </c>
      <c r="N28" s="10">
        <f>[1]!s_fa_roe(N14,N13)%</f>
        <v>1.4319999999999999E-3</v>
      </c>
      <c r="O28" s="10">
        <f>[1]!s_fa_roe(O14,O13)%</f>
        <v>0</v>
      </c>
      <c r="P28" s="10">
        <f>[1]!s_fa_roe(P14,P13)%</f>
        <v>0</v>
      </c>
      <c r="Q28" s="10">
        <f>[1]!s_fa_roe(Q14,Q13)%</f>
        <v>0</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42</v>
      </c>
      <c r="J29" s="68">
        <f>[1]!b_stm07_cs(J14,39,J13,1)/100000000</f>
        <v>-86.95206057610001</v>
      </c>
      <c r="K29" s="121"/>
      <c r="L29" s="68">
        <f>[1]!b_stm07_cs(L14,39,L13,1)/100000000</f>
        <v>8.5726873089999991</v>
      </c>
      <c r="M29" s="68">
        <f>[1]!b_stm07_cs(M14,39,M13,1)/100000000</f>
        <v>19.0394799386</v>
      </c>
      <c r="N29" s="68">
        <f>[1]!b_stm07_cs(N14,39,N13,1)/100000000</f>
        <v>-13.443351556300001</v>
      </c>
      <c r="O29" s="68">
        <f>[1]!b_stm07_cs(O14,39,O13,1)/100000000</f>
        <v>0</v>
      </c>
      <c r="P29" s="68">
        <f>[1]!b_stm07_cs(P14,39,P13,1)/100000000</f>
        <v>0</v>
      </c>
      <c r="Q29" s="68">
        <f>[1]!b_stm07_cs(Q14,39,Q13,1)/100000000</f>
        <v>0</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43</v>
      </c>
      <c r="J96" s="70">
        <f>[1]!b_stm07_bs(J14,75,J13,1)</f>
        <v>755137281</v>
      </c>
      <c r="K96" s="70"/>
      <c r="L96" s="70">
        <f>[1]!b_stm07_bs(L14,75,L13,1)</f>
        <v>0</v>
      </c>
      <c r="M96" s="70">
        <f>[1]!b_stm07_bs(M14,75,M13,1)</f>
        <v>1078700000</v>
      </c>
      <c r="N96" s="70">
        <f>[1]!b_stm07_bs(N14,75,N13,1)</f>
        <v>1300000000</v>
      </c>
      <c r="O96" s="70">
        <f>[1]!b_stm07_bs(O14,75,O13,1)</f>
        <v>0</v>
      </c>
      <c r="P96" s="70">
        <f>[1]!b_stm07_bs(P14,75,P13,1)</f>
        <v>0</v>
      </c>
      <c r="Q96" s="70">
        <f>[1]!b_stm07_bs(Q14,75,Q13,1)</f>
        <v>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44</v>
      </c>
      <c r="J97" s="70">
        <f>[1]!b_stm07_bs(J14,82,J13,1)</f>
        <v>172307604.96000001</v>
      </c>
      <c r="K97" s="70"/>
      <c r="L97" s="70">
        <f>[1]!b_stm07_bs(L14,82,L13,1)</f>
        <v>43093247.219999999</v>
      </c>
      <c r="M97" s="70">
        <f>[1]!b_stm07_bs(M14,82,M13,1)</f>
        <v>296330465.74000001</v>
      </c>
      <c r="N97" s="70">
        <f>[1]!b_stm07_bs(N14,82,N13,1)</f>
        <v>178007232.09999999</v>
      </c>
      <c r="O97" s="70">
        <f>[1]!b_stm07_bs(O14,82,O13,1)</f>
        <v>0</v>
      </c>
      <c r="P97" s="70">
        <f>[1]!b_stm07_bs(P14,82,P13,1)</f>
        <v>0</v>
      </c>
      <c r="Q97" s="70">
        <f>[1]!b_stm07_bs(Q14,82,Q13,1)</f>
        <v>0</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45</v>
      </c>
      <c r="J98" s="70">
        <f>[1]!b_stm07_bs(J14,88,J13,1)</f>
        <v>3950799871.71</v>
      </c>
      <c r="K98" s="70"/>
      <c r="L98" s="70">
        <f>[1]!b_stm07_bs(L14,88,L13,1)</f>
        <v>0</v>
      </c>
      <c r="M98" s="70">
        <f>[1]!b_stm07_bs(M14,88,M13,1)</f>
        <v>9700000</v>
      </c>
      <c r="N98" s="70">
        <f>[1]!b_stm07_bs(N14,88,N13,1)</f>
        <v>2030500000</v>
      </c>
      <c r="O98" s="70">
        <f>[1]!b_stm07_bs(O14,88,O13,1)</f>
        <v>0</v>
      </c>
      <c r="P98" s="70">
        <f>[1]!b_stm07_bs(P14,88,P13,1)</f>
        <v>0</v>
      </c>
      <c r="Q98" s="70">
        <f>[1]!b_stm07_bs(Q14,88,Q13,1)</f>
        <v>0</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46</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47</v>
      </c>
      <c r="J100" s="70">
        <f>[1]!b_stm07_bs(J14,94,J13,1)</f>
        <v>1441156184.8599999</v>
      </c>
      <c r="K100" s="70"/>
      <c r="L100" s="70">
        <f>[1]!b_stm07_bs(L14,94,L13,1)</f>
        <v>10471000000</v>
      </c>
      <c r="M100" s="70">
        <f>[1]!b_stm07_bs(M14,94,M13,1)</f>
        <v>5272100000</v>
      </c>
      <c r="N100" s="70">
        <f>[1]!b_stm07_bs(N14,94,N13,1)</f>
        <v>2702024719.9099998</v>
      </c>
      <c r="O100" s="70">
        <f>[1]!b_stm07_bs(O14,94,O13,1)</f>
        <v>0</v>
      </c>
      <c r="P100" s="70">
        <f>[1]!b_stm07_bs(P14,94,P13,1)</f>
        <v>0</v>
      </c>
      <c r="Q100" s="70">
        <f>[1]!b_stm07_bs(Q14,94,Q13,1)</f>
        <v>0</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48</v>
      </c>
      <c r="J101" s="70">
        <f>[1]!b_stm07_bs(J14,95,J13,1)</f>
        <v>4653359200.3299999</v>
      </c>
      <c r="K101" s="70"/>
      <c r="L101" s="70">
        <f>[1]!b_stm07_bs(L14,95,L13,1)</f>
        <v>0</v>
      </c>
      <c r="M101" s="70">
        <f>[1]!b_stm07_bs(M14,95,M13,1)</f>
        <v>15970308985.15</v>
      </c>
      <c r="N101" s="70">
        <f>[1]!b_stm07_bs(N14,95,N13,1)</f>
        <v>2000000000</v>
      </c>
      <c r="O101" s="70">
        <f>[1]!b_stm07_bs(O14,95,O13,1)</f>
        <v>0</v>
      </c>
      <c r="P101" s="70">
        <f>[1]!b_stm07_bs(P14,95,P13,1)</f>
        <v>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49</v>
      </c>
      <c r="J103" s="70">
        <f>[1]!b_stm07_bs(J14,141,J13,1)</f>
        <v>29320999296.869999</v>
      </c>
      <c r="K103" s="70"/>
      <c r="L103" s="70">
        <f>[1]!b_stm07_bs(L14,141,L13,1)</f>
        <v>28236321675.540001</v>
      </c>
      <c r="M103" s="70">
        <f>[1]!b_stm07_bs(M14,141,M13,1)</f>
        <v>32406035097</v>
      </c>
      <c r="N103" s="70">
        <f>[1]!b_stm07_bs(N14,141,N13,1)</f>
        <v>181525911854.95001</v>
      </c>
      <c r="O103" s="70">
        <f>[1]!b_stm07_bs(O14,141,O13,1)</f>
        <v>0</v>
      </c>
      <c r="P103" s="70">
        <f>[1]!b_stm07_bs(P14,141,P13,1)</f>
        <v>0</v>
      </c>
      <c r="Q103" s="70">
        <f>[1]!b_stm07_bs(Q14,141,Q13,1)</f>
        <v>0</v>
      </c>
      <c r="R103" s="70">
        <f>[1]!b_stm07_bs(R14,141,R13,1)</f>
        <v>0</v>
      </c>
    </row>
    <row r="106" spans="1:19" ht="14.25" customHeight="1" x14ac:dyDescent="0.25">
      <c r="A106" s="120" t="s">
        <v>50</v>
      </c>
      <c r="B106" s="115"/>
      <c r="C106" s="115"/>
      <c r="D106" s="121"/>
      <c r="E106" s="121"/>
      <c r="F106" s="121"/>
      <c r="G106" s="121"/>
      <c r="H106" s="121"/>
      <c r="I106" s="121"/>
      <c r="J106" s="121"/>
      <c r="L106" s="17"/>
      <c r="M106" s="17"/>
    </row>
    <row r="107" spans="1:19" x14ac:dyDescent="0.25">
      <c r="A107" s="122" t="s">
        <v>51</v>
      </c>
      <c r="B107" s="115"/>
      <c r="C107" s="115"/>
      <c r="D107" s="121"/>
      <c r="E107" s="121"/>
      <c r="F107" s="121"/>
      <c r="G107" s="123">
        <v>2017</v>
      </c>
      <c r="H107" s="121"/>
      <c r="I107" s="121"/>
      <c r="J107" s="121"/>
      <c r="K107" s="40" t="str">
        <f>A2</f>
        <v>q19041107.IB</v>
      </c>
      <c r="L107" s="33">
        <f>B2</f>
        <v>43100</v>
      </c>
      <c r="M107" s="17"/>
    </row>
    <row r="108" spans="1:19" ht="12.75" customHeight="1" x14ac:dyDescent="0.25">
      <c r="A108" s="124" t="s">
        <v>52</v>
      </c>
      <c r="B108" s="115"/>
      <c r="C108" s="124" t="s">
        <v>53</v>
      </c>
      <c r="D108" s="121"/>
      <c r="E108" s="124" t="s">
        <v>54</v>
      </c>
      <c r="F108" s="121"/>
      <c r="G108" s="124" t="s">
        <v>55</v>
      </c>
      <c r="H108" s="121"/>
      <c r="I108" s="124" t="s">
        <v>56</v>
      </c>
      <c r="J108" s="121"/>
      <c r="L108" s="17"/>
      <c r="M108" s="17"/>
    </row>
    <row r="109" spans="1:19" ht="16.5" customHeight="1" x14ac:dyDescent="0.25">
      <c r="A109" s="54" t="s">
        <v>57</v>
      </c>
      <c r="B109" s="12">
        <f>M109/100</f>
        <v>0.59955999999999998</v>
      </c>
      <c r="C109" s="54" t="s">
        <v>33</v>
      </c>
      <c r="D109" s="71">
        <f>[1]!s_fa_current(A2,B2)</f>
        <v>1.4092</v>
      </c>
      <c r="E109" s="54" t="s">
        <v>37</v>
      </c>
      <c r="F109" s="72">
        <f>[1]!s_fa_salescashintoor(A2,B2)/100</f>
        <v>0.71240000000000014</v>
      </c>
      <c r="G109" s="54" t="s">
        <v>38</v>
      </c>
      <c r="H109" s="12">
        <f>S109/100</f>
        <v>0.25086900000000001</v>
      </c>
      <c r="I109" s="54"/>
      <c r="J109" s="16"/>
      <c r="K109" s="25"/>
      <c r="L109" s="34" t="s">
        <v>57</v>
      </c>
      <c r="M109" s="73">
        <f>[1]!s_fa_debttoassets(A2,B2)</f>
        <v>59.956000000000003</v>
      </c>
      <c r="N109" s="54" t="s">
        <v>33</v>
      </c>
      <c r="O109" s="35"/>
      <c r="P109" s="54" t="s">
        <v>37</v>
      </c>
      <c r="Q109" s="35"/>
      <c r="R109" s="54" t="s">
        <v>38</v>
      </c>
      <c r="S109" s="74">
        <f>[1]!s_fa_grossprofitmargin(A2,B2)</f>
        <v>25.0869</v>
      </c>
    </row>
    <row r="110" spans="1:19" ht="15.75" customHeight="1" x14ac:dyDescent="0.25">
      <c r="A110" s="54" t="s">
        <v>58</v>
      </c>
      <c r="B110" s="12">
        <f>M110/100</f>
        <v>0.54100099999999995</v>
      </c>
      <c r="C110" s="54" t="s">
        <v>59</v>
      </c>
      <c r="D110" s="72">
        <f>[1]!s_fa_quick(A2,B2)</f>
        <v>1.3937999999999999</v>
      </c>
      <c r="E110" s="54" t="s">
        <v>60</v>
      </c>
      <c r="F110" s="71">
        <f>[1]!s_fa_arturn(A2,B2)</f>
        <v>7.7850000000000001</v>
      </c>
      <c r="G110" s="54" t="s">
        <v>61</v>
      </c>
      <c r="H110" s="12">
        <f>S110/100</f>
        <v>0.22182300000000002</v>
      </c>
      <c r="I110" s="54"/>
      <c r="J110" s="16"/>
      <c r="L110" s="54" t="s">
        <v>58</v>
      </c>
      <c r="M110" s="73">
        <f>[1]!s_fa_catoassets(A2,B2)</f>
        <v>54.100099999999998</v>
      </c>
      <c r="N110" s="54" t="s">
        <v>59</v>
      </c>
      <c r="O110" s="35"/>
      <c r="P110" s="54" t="s">
        <v>60</v>
      </c>
      <c r="Q110" s="72"/>
      <c r="R110" s="54" t="s">
        <v>61</v>
      </c>
      <c r="S110" s="74">
        <f>[1]!s_fa_optogr(A2,B2)</f>
        <v>22.182300000000001</v>
      </c>
    </row>
    <row r="111" spans="1:19" ht="15" customHeight="1" x14ac:dyDescent="0.25">
      <c r="A111" s="54" t="s">
        <v>62</v>
      </c>
      <c r="B111" s="12">
        <f>M111/100</f>
        <v>0.64033699999999993</v>
      </c>
      <c r="C111" s="54" t="s">
        <v>35</v>
      </c>
      <c r="D111" s="72">
        <f>[1]!s_fa_ebitdatodebt(A2,B2)</f>
        <v>3.5400000000000001E-2</v>
      </c>
      <c r="E111" s="54" t="s">
        <v>63</v>
      </c>
      <c r="F111" s="71">
        <f>[1]!s_fa_invturn(A2,B2)</f>
        <v>5.2069999999999999</v>
      </c>
      <c r="G111" s="54" t="s">
        <v>41</v>
      </c>
      <c r="H111" s="12">
        <f>S111/100</f>
        <v>2.8081000000000002E-2</v>
      </c>
      <c r="I111" s="54"/>
      <c r="J111" s="16"/>
      <c r="L111" s="54" t="s">
        <v>62</v>
      </c>
      <c r="M111" s="73">
        <f>[1]!s_fa_currentdebttodebt(A2,B2)</f>
        <v>64.033699999999996</v>
      </c>
      <c r="N111" s="54" t="s">
        <v>35</v>
      </c>
      <c r="O111" s="35"/>
      <c r="P111" s="54" t="s">
        <v>63</v>
      </c>
      <c r="Q111" s="35"/>
      <c r="R111" s="54" t="s">
        <v>41</v>
      </c>
      <c r="S111" s="74">
        <f>[1]!s_fa_roe(A2,B2)</f>
        <v>2.8081</v>
      </c>
    </row>
    <row r="112" spans="1:19" ht="14.25" customHeight="1" x14ac:dyDescent="0.25">
      <c r="A112" s="54" t="s">
        <v>34</v>
      </c>
      <c r="B112" s="75">
        <f>(M116+M117+M118+M119+M120+M121)/M123</f>
        <v>0.37422872364487719</v>
      </c>
      <c r="C112" s="54" t="s">
        <v>64</v>
      </c>
      <c r="D112" s="72">
        <f>[1]!s_fa_ebittointerest(A2,B2)</f>
        <v>7.9278000000000004</v>
      </c>
      <c r="E112" s="54" t="s">
        <v>65</v>
      </c>
      <c r="F112" s="71">
        <f>[1]!s_fa_caturn(A2,B2)</f>
        <v>0.1285</v>
      </c>
      <c r="G112" s="54" t="s">
        <v>66</v>
      </c>
      <c r="H112" s="12">
        <f>S112/100</f>
        <v>1.6976000000000002E-2</v>
      </c>
      <c r="I112" s="54"/>
      <c r="J112" s="16"/>
      <c r="L112" s="54" t="s">
        <v>34</v>
      </c>
      <c r="M112" s="76"/>
      <c r="N112" s="54" t="s">
        <v>64</v>
      </c>
      <c r="O112" s="35"/>
      <c r="P112" s="54" t="s">
        <v>65</v>
      </c>
      <c r="Q112" s="35"/>
      <c r="R112" s="54" t="s">
        <v>66</v>
      </c>
      <c r="S112" s="74">
        <f>[1]!s_fa_roa2(A2,B2)</f>
        <v>1.6976</v>
      </c>
    </row>
    <row r="113" spans="1:21" x14ac:dyDescent="0.25">
      <c r="A113" s="30"/>
      <c r="B113" s="31"/>
      <c r="C113" s="30"/>
      <c r="D113" s="32"/>
      <c r="E113" s="30" t="s">
        <v>67</v>
      </c>
      <c r="F113" s="77">
        <f>[1]!s_fa_dupont_faturnover(A2,B2)</f>
        <v>6.7100000000000007E-2</v>
      </c>
      <c r="G113" s="30"/>
      <c r="H113" s="31"/>
      <c r="I113" s="30"/>
      <c r="J113" s="31"/>
      <c r="L113" s="30"/>
      <c r="M113" s="36"/>
      <c r="N113" s="30"/>
      <c r="O113" s="32"/>
      <c r="P113" s="30" t="s">
        <v>67</v>
      </c>
      <c r="Q113" s="37"/>
      <c r="R113" s="30"/>
      <c r="S113" s="31"/>
    </row>
    <row r="114" spans="1:21" ht="13.5" customHeight="1" x14ac:dyDescent="0.25">
      <c r="A114" s="120" t="s">
        <v>68</v>
      </c>
      <c r="B114" s="115"/>
      <c r="C114" s="115"/>
      <c r="D114" s="121"/>
      <c r="E114" s="121"/>
      <c r="F114" s="121"/>
      <c r="G114" s="121"/>
      <c r="H114" s="121"/>
      <c r="I114" s="121"/>
      <c r="J114" s="121"/>
      <c r="L114" s="17"/>
      <c r="M114" s="17"/>
    </row>
    <row r="115" spans="1:21" ht="13.5" customHeight="1" x14ac:dyDescent="0.25">
      <c r="A115" s="122" t="s">
        <v>69</v>
      </c>
      <c r="B115" s="115"/>
      <c r="C115" s="115"/>
      <c r="D115" s="121"/>
      <c r="E115" s="121"/>
      <c r="F115" s="121"/>
      <c r="G115" s="125">
        <v>2017</v>
      </c>
      <c r="H115" s="121"/>
      <c r="I115" s="121"/>
      <c r="J115" s="121"/>
      <c r="L115" s="17"/>
      <c r="M115" s="17"/>
    </row>
    <row r="116" spans="1:21" x14ac:dyDescent="0.25">
      <c r="A116" s="126" t="s">
        <v>70</v>
      </c>
      <c r="B116" s="115"/>
      <c r="C116" s="126" t="s">
        <v>71</v>
      </c>
      <c r="D116" s="121"/>
      <c r="E116" s="127" t="s">
        <v>72</v>
      </c>
      <c r="F116" s="121"/>
      <c r="G116" s="121"/>
      <c r="H116" s="121"/>
      <c r="I116" s="121"/>
      <c r="J116" s="121"/>
      <c r="L116" s="17" t="s">
        <v>43</v>
      </c>
      <c r="M116" s="70">
        <f>[1]!b_stm07_bs(K107,75,L107,1)</f>
        <v>755137281</v>
      </c>
    </row>
    <row r="117" spans="1:21" ht="14.25" customHeight="1" x14ac:dyDescent="0.25">
      <c r="A117" s="54" t="s">
        <v>73</v>
      </c>
      <c r="B117" s="72">
        <f t="shared" ref="B117:B131" si="1">M127/100000000</f>
        <v>76.471706607299993</v>
      </c>
      <c r="C117" s="54" t="s">
        <v>74</v>
      </c>
      <c r="D117" s="75">
        <f t="shared" ref="D117:D125" si="2">O127/100000000</f>
        <v>43.799814238900005</v>
      </c>
      <c r="E117" s="128" t="s">
        <v>75</v>
      </c>
      <c r="F117" s="121"/>
      <c r="G117" s="121"/>
      <c r="H117" s="129">
        <f t="shared" ref="H117:H131" si="3">S127/100000000</f>
        <v>31.202480744799999</v>
      </c>
      <c r="I117" s="121"/>
      <c r="J117" s="121"/>
      <c r="L117" s="17" t="s">
        <v>44</v>
      </c>
      <c r="M117" s="70">
        <f>[1]!b_stm07_bs(K107,82,L107,1)</f>
        <v>172307604.96000001</v>
      </c>
    </row>
    <row r="118" spans="1:21" ht="14.25" customHeight="1" x14ac:dyDescent="0.25">
      <c r="A118" s="54" t="s">
        <v>76</v>
      </c>
      <c r="B118" s="72">
        <f t="shared" si="1"/>
        <v>5.0517655912999997</v>
      </c>
      <c r="C118" s="54" t="s">
        <v>77</v>
      </c>
      <c r="D118" s="75">
        <f t="shared" si="2"/>
        <v>48.847340967700006</v>
      </c>
      <c r="E118" s="128" t="s">
        <v>78</v>
      </c>
      <c r="F118" s="121"/>
      <c r="G118" s="121"/>
      <c r="H118" s="129">
        <f t="shared" si="3"/>
        <v>21.379576326500001</v>
      </c>
      <c r="I118" s="121"/>
      <c r="J118" s="121"/>
      <c r="L118" s="17" t="s">
        <v>45</v>
      </c>
      <c r="M118" s="70">
        <f>[1]!b_stm07_bs(K107,88,L107,1)</f>
        <v>3950799871.71</v>
      </c>
    </row>
    <row r="119" spans="1:21" ht="14.25" customHeight="1" x14ac:dyDescent="0.25">
      <c r="A119" s="54" t="s">
        <v>79</v>
      </c>
      <c r="B119" s="72">
        <f t="shared" si="1"/>
        <v>46.969324680900002</v>
      </c>
      <c r="C119" s="54" t="s">
        <v>80</v>
      </c>
      <c r="D119" s="75">
        <f t="shared" si="2"/>
        <v>32.811790747800003</v>
      </c>
      <c r="E119" s="128" t="s">
        <v>81</v>
      </c>
      <c r="F119" s="121"/>
      <c r="G119" s="121"/>
      <c r="H119" s="130">
        <f t="shared" si="3"/>
        <v>102.63241865489999</v>
      </c>
      <c r="I119" s="121"/>
      <c r="J119" s="121"/>
      <c r="L119" s="17" t="s">
        <v>46</v>
      </c>
      <c r="M119" s="70">
        <f>[1]!b_stm07_bs(K107,147,L107,1)</f>
        <v>0</v>
      </c>
    </row>
    <row r="120" spans="1:21" ht="14.25" customHeight="1" x14ac:dyDescent="0.25">
      <c r="A120" s="54" t="s">
        <v>82</v>
      </c>
      <c r="B120" s="72">
        <f t="shared" si="1"/>
        <v>51.547776059399993</v>
      </c>
      <c r="C120" s="54" t="s">
        <v>83</v>
      </c>
      <c r="D120" s="75">
        <f t="shared" si="2"/>
        <v>0.2165725577</v>
      </c>
      <c r="E120" s="128" t="s">
        <v>84</v>
      </c>
      <c r="F120" s="121"/>
      <c r="G120" s="121"/>
      <c r="H120" s="129">
        <f t="shared" si="3"/>
        <v>11.6421167997</v>
      </c>
      <c r="I120" s="121"/>
      <c r="J120" s="121"/>
      <c r="L120" s="17" t="s">
        <v>47</v>
      </c>
      <c r="M120" s="70">
        <f>[1]!b_stm07_bs(K107,94,L107,1)</f>
        <v>1441156184.8599999</v>
      </c>
    </row>
    <row r="121" spans="1:21" ht="14.25" customHeight="1" x14ac:dyDescent="0.25">
      <c r="A121" s="54" t="s">
        <v>85</v>
      </c>
      <c r="B121" s="72">
        <f t="shared" si="1"/>
        <v>92.631335946200011</v>
      </c>
      <c r="C121" s="54" t="s">
        <v>86</v>
      </c>
      <c r="D121" s="75">
        <f t="shared" si="2"/>
        <v>11.7793370256</v>
      </c>
      <c r="E121" s="128" t="s">
        <v>87</v>
      </c>
      <c r="F121" s="121"/>
      <c r="G121" s="121"/>
      <c r="H121" s="129">
        <f t="shared" si="3"/>
        <v>152.5453912211</v>
      </c>
      <c r="I121" s="121"/>
      <c r="J121" s="121"/>
      <c r="L121" s="17" t="s">
        <v>48</v>
      </c>
      <c r="M121" s="70">
        <f>[1]!b_stm07_bs(K107,95,L107,1)</f>
        <v>4653359200.3299999</v>
      </c>
    </row>
    <row r="122" spans="1:21" ht="14.25" customHeight="1" x14ac:dyDescent="0.25">
      <c r="A122" s="54" t="s">
        <v>88</v>
      </c>
      <c r="B122" s="72">
        <f t="shared" si="1"/>
        <v>4.6461252710999998</v>
      </c>
      <c r="C122" s="54" t="s">
        <v>89</v>
      </c>
      <c r="D122" s="75">
        <f t="shared" si="2"/>
        <v>1.3982519365999999</v>
      </c>
      <c r="E122" s="128" t="s">
        <v>90</v>
      </c>
      <c r="F122" s="121"/>
      <c r="G122" s="121"/>
      <c r="H122" s="130">
        <f t="shared" si="3"/>
        <v>189.58447923099999</v>
      </c>
      <c r="I122" s="121"/>
      <c r="J122" s="121"/>
      <c r="L122" s="17"/>
      <c r="M122" s="17"/>
    </row>
    <row r="123" spans="1:21" ht="14.25" customHeight="1" x14ac:dyDescent="0.25">
      <c r="A123" s="54" t="s">
        <v>91</v>
      </c>
      <c r="B123" s="78">
        <f t="shared" si="1"/>
        <v>732.21891070729998</v>
      </c>
      <c r="C123" s="54" t="s">
        <v>92</v>
      </c>
      <c r="D123" s="75">
        <f t="shared" si="2"/>
        <v>9.7158163646000002</v>
      </c>
      <c r="E123" s="128" t="s">
        <v>93</v>
      </c>
      <c r="F123" s="121"/>
      <c r="G123" s="121"/>
      <c r="H123" s="130">
        <f t="shared" si="3"/>
        <v>-86.95206057610001</v>
      </c>
      <c r="I123" s="121"/>
      <c r="J123" s="121"/>
      <c r="L123" s="17" t="s">
        <v>49</v>
      </c>
      <c r="M123" s="70">
        <f>[1]!b_stm07_bs(K107,141,L107,1)</f>
        <v>29320999296.869999</v>
      </c>
    </row>
    <row r="124" spans="1:21" ht="14.25" customHeight="1" x14ac:dyDescent="0.25">
      <c r="A124" s="54" t="s">
        <v>94</v>
      </c>
      <c r="B124" s="72">
        <f t="shared" si="1"/>
        <v>7.5513728100000002</v>
      </c>
      <c r="C124" s="54" t="s">
        <v>95</v>
      </c>
      <c r="D124" s="75">
        <f t="shared" si="2"/>
        <v>9.6868336623999998</v>
      </c>
      <c r="E124" s="128" t="s">
        <v>96</v>
      </c>
      <c r="F124" s="121"/>
      <c r="G124" s="121"/>
      <c r="H124" s="130">
        <f t="shared" si="3"/>
        <v>-24.301920535500003</v>
      </c>
      <c r="I124" s="121"/>
      <c r="J124" s="121"/>
      <c r="L124" s="17"/>
      <c r="M124" s="17"/>
    </row>
    <row r="125" spans="1:21" ht="27" customHeight="1" x14ac:dyDescent="0.25">
      <c r="A125" s="54" t="s">
        <v>97</v>
      </c>
      <c r="B125" s="72">
        <f t="shared" si="1"/>
        <v>39.507998717100001</v>
      </c>
      <c r="C125" s="54" t="s">
        <v>39</v>
      </c>
      <c r="D125" s="75">
        <f t="shared" si="2"/>
        <v>8.3038382637999995</v>
      </c>
      <c r="E125" s="128" t="s">
        <v>98</v>
      </c>
      <c r="F125" s="121"/>
      <c r="G125" s="121"/>
      <c r="H125" s="129">
        <f t="shared" si="3"/>
        <v>0.28627000000000002</v>
      </c>
      <c r="I125" s="121"/>
      <c r="J125" s="121"/>
      <c r="L125" s="17"/>
      <c r="M125" s="17"/>
    </row>
    <row r="126" spans="1:21" ht="16.5" customHeight="1" x14ac:dyDescent="0.25">
      <c r="A126" s="54" t="s">
        <v>99</v>
      </c>
      <c r="B126" s="72">
        <f t="shared" si="1"/>
        <v>0</v>
      </c>
      <c r="C126" s="54"/>
      <c r="D126" s="79"/>
      <c r="E126" s="128" t="s">
        <v>100</v>
      </c>
      <c r="F126" s="121"/>
      <c r="G126" s="121"/>
      <c r="H126" s="129">
        <f t="shared" si="3"/>
        <v>85.062046344500004</v>
      </c>
      <c r="I126" s="121"/>
      <c r="J126" s="121"/>
      <c r="L126" s="131" t="s">
        <v>70</v>
      </c>
      <c r="M126" s="121"/>
      <c r="N126" s="131" t="s">
        <v>71</v>
      </c>
      <c r="O126" s="121"/>
      <c r="P126" s="122" t="s">
        <v>72</v>
      </c>
      <c r="Q126" s="121"/>
      <c r="R126" s="121"/>
      <c r="S126" s="132"/>
      <c r="T126" s="132"/>
      <c r="U126" s="132"/>
    </row>
    <row r="127" spans="1:21" ht="14.25" customHeight="1" x14ac:dyDescent="0.25">
      <c r="A127" s="54" t="s">
        <v>101</v>
      </c>
      <c r="B127" s="72">
        <f t="shared" si="1"/>
        <v>14.411561848599998</v>
      </c>
      <c r="C127" s="54"/>
      <c r="D127" s="79"/>
      <c r="E127" s="128" t="s">
        <v>102</v>
      </c>
      <c r="F127" s="121"/>
      <c r="G127" s="121"/>
      <c r="H127" s="129">
        <f t="shared" si="3"/>
        <v>97.314899999999994</v>
      </c>
      <c r="I127" s="121"/>
      <c r="J127" s="121"/>
      <c r="L127" s="54" t="s">
        <v>73</v>
      </c>
      <c r="M127" s="74">
        <f>[1]!b_stm07_bs(K107,9,L107,1)</f>
        <v>7647170660.7299995</v>
      </c>
      <c r="N127" s="54" t="s">
        <v>74</v>
      </c>
      <c r="O127" s="74">
        <f>[1]!b_stm07_is(K107,83,L107,1)</f>
        <v>4379981423.8900003</v>
      </c>
      <c r="P127" s="128" t="s">
        <v>75</v>
      </c>
      <c r="Q127" s="121"/>
      <c r="R127" s="121"/>
      <c r="S127" s="133">
        <f>[1]!b_stm07_cs(K107,9,L107,1)</f>
        <v>3120248074.48</v>
      </c>
      <c r="T127" s="132"/>
      <c r="U127" s="132"/>
    </row>
    <row r="128" spans="1:21" ht="14.25" customHeight="1" x14ac:dyDescent="0.25">
      <c r="A128" s="54" t="s">
        <v>103</v>
      </c>
      <c r="B128" s="72">
        <f t="shared" si="1"/>
        <v>46.533592003300001</v>
      </c>
      <c r="C128" s="54"/>
      <c r="D128" s="79"/>
      <c r="E128" s="128" t="s">
        <v>104</v>
      </c>
      <c r="F128" s="121"/>
      <c r="G128" s="121"/>
      <c r="H128" s="130">
        <f t="shared" si="3"/>
        <v>221.94400269889999</v>
      </c>
      <c r="I128" s="121"/>
      <c r="J128" s="121"/>
      <c r="L128" s="54" t="s">
        <v>76</v>
      </c>
      <c r="M128" s="74">
        <f>[1]!b_stm07_bs(K107,12,L107,1)</f>
        <v>505176559.13</v>
      </c>
      <c r="N128" s="54" t="s">
        <v>77</v>
      </c>
      <c r="O128" s="74">
        <f>[1]!b_stm07_is(K107,84,L107,1)</f>
        <v>4884734096.7700005</v>
      </c>
      <c r="P128" s="128" t="s">
        <v>78</v>
      </c>
      <c r="Q128" s="121"/>
      <c r="R128" s="121"/>
      <c r="S128" s="133">
        <f>[1]!b_stm07_cs(K107,11,L107,1)</f>
        <v>2137957632.6500001</v>
      </c>
      <c r="T128" s="132"/>
      <c r="U128" s="132"/>
    </row>
    <row r="129" spans="1:21" ht="14.25" customHeight="1" x14ac:dyDescent="0.25">
      <c r="A129" s="54" t="s">
        <v>105</v>
      </c>
      <c r="B129" s="78">
        <f t="shared" si="1"/>
        <v>439.00891773860002</v>
      </c>
      <c r="C129" s="14"/>
      <c r="D129" s="13"/>
      <c r="E129" s="128" t="s">
        <v>106</v>
      </c>
      <c r="F129" s="121"/>
      <c r="G129" s="121"/>
      <c r="H129" s="129">
        <f t="shared" si="3"/>
        <v>110.94993123229999</v>
      </c>
      <c r="I129" s="121"/>
      <c r="J129" s="121"/>
      <c r="L129" s="54" t="s">
        <v>79</v>
      </c>
      <c r="M129" s="74">
        <f>[1]!b_stm07_bs(K107,13,L107,1)</f>
        <v>4696932468.0900002</v>
      </c>
      <c r="N129" s="54" t="s">
        <v>80</v>
      </c>
      <c r="O129" s="74">
        <f>[1]!b_stm07_is(K107,10,L107,1)</f>
        <v>3281179074.7800002</v>
      </c>
      <c r="P129" s="128" t="s">
        <v>81</v>
      </c>
      <c r="Q129" s="121"/>
      <c r="R129" s="121"/>
      <c r="S129" s="134">
        <f>[1]!b_stm07_cs(K107,25,L107,1)</f>
        <v>10263241865.49</v>
      </c>
      <c r="T129" s="132"/>
      <c r="U129" s="132"/>
    </row>
    <row r="130" spans="1:21" ht="14.25" customHeight="1" x14ac:dyDescent="0.25">
      <c r="A130" s="54" t="s">
        <v>107</v>
      </c>
      <c r="B130" s="78">
        <f t="shared" si="1"/>
        <v>293.20999296869996</v>
      </c>
      <c r="C130" s="14"/>
      <c r="D130" s="13"/>
      <c r="E130" s="128" t="s">
        <v>108</v>
      </c>
      <c r="F130" s="121"/>
      <c r="G130" s="121"/>
      <c r="H130" s="129">
        <f t="shared" si="3"/>
        <v>127.3435780674</v>
      </c>
      <c r="I130" s="121"/>
      <c r="J130" s="121"/>
      <c r="L130" s="54" t="s">
        <v>82</v>
      </c>
      <c r="M130" s="74">
        <f>[1]!b_stm07_bs(K107,31,L107,1)</f>
        <v>5154777605.9399996</v>
      </c>
      <c r="N130" s="54" t="s">
        <v>83</v>
      </c>
      <c r="O130" s="74">
        <f>[1]!b_stm07_is(K107,12,L107,1)</f>
        <v>21657255.77</v>
      </c>
      <c r="P130" s="128" t="s">
        <v>84</v>
      </c>
      <c r="Q130" s="121"/>
      <c r="R130" s="121"/>
      <c r="S130" s="133">
        <f>[1]!b_stm07_cs(K107,26,L107,1)</f>
        <v>1164211679.97</v>
      </c>
      <c r="T130" s="132"/>
      <c r="U130" s="132"/>
    </row>
    <row r="131" spans="1:21" ht="14.25" customHeight="1" x14ac:dyDescent="0.25">
      <c r="A131" s="15" t="s">
        <v>109</v>
      </c>
      <c r="B131" s="78">
        <f t="shared" si="1"/>
        <v>732.21891070729998</v>
      </c>
      <c r="C131" s="14"/>
      <c r="D131" s="13"/>
      <c r="E131" s="128" t="s">
        <v>110</v>
      </c>
      <c r="F131" s="121"/>
      <c r="G131" s="121"/>
      <c r="H131" s="130">
        <f t="shared" si="3"/>
        <v>94.60042463149999</v>
      </c>
      <c r="I131" s="121"/>
      <c r="J131" s="121"/>
      <c r="L131" s="54" t="s">
        <v>85</v>
      </c>
      <c r="M131" s="74">
        <f>[1]!b_stm07_bs(K107,33,L107,1)</f>
        <v>9263133594.6200008</v>
      </c>
      <c r="N131" s="54" t="s">
        <v>86</v>
      </c>
      <c r="O131" s="74">
        <f>[1]!b_stm07_is(K107,13,L107,1)</f>
        <v>1177933702.5599999</v>
      </c>
      <c r="P131" s="128" t="s">
        <v>87</v>
      </c>
      <c r="Q131" s="121"/>
      <c r="R131" s="121"/>
      <c r="S131" s="133">
        <f>[1]!b_stm07_cs(K107,29,L107,1)</f>
        <v>15254539122.110001</v>
      </c>
      <c r="T131" s="132"/>
      <c r="U131" s="132"/>
    </row>
    <row r="132" spans="1:21" x14ac:dyDescent="0.25">
      <c r="L132" s="54" t="s">
        <v>88</v>
      </c>
      <c r="M132" s="74">
        <f>[1]!b_stm07_bs(K107,37,L107,1)</f>
        <v>464612527.11000001</v>
      </c>
      <c r="N132" s="54" t="s">
        <v>89</v>
      </c>
      <c r="O132" s="74">
        <f>[1]!b_stm07_is(K107,14,L107,1)</f>
        <v>139825193.66</v>
      </c>
      <c r="P132" s="128" t="s">
        <v>90</v>
      </c>
      <c r="Q132" s="121"/>
      <c r="R132" s="121"/>
      <c r="S132" s="134">
        <f>[1]!b_stm07_cs(K107,37,L107,1)</f>
        <v>18958447923.099998</v>
      </c>
      <c r="T132" s="132"/>
      <c r="U132" s="132"/>
    </row>
    <row r="133" spans="1:21" x14ac:dyDescent="0.25">
      <c r="L133" s="54" t="s">
        <v>91</v>
      </c>
      <c r="M133" s="80">
        <f>[1]!b_stm07_bs(K107,74,L107,1)</f>
        <v>73221891070.729996</v>
      </c>
      <c r="N133" s="54" t="s">
        <v>92</v>
      </c>
      <c r="O133" s="74">
        <f>[1]!b_stm07_is(K107,48,L107,1)</f>
        <v>971581636.46000004</v>
      </c>
      <c r="P133" s="128" t="s">
        <v>93</v>
      </c>
      <c r="Q133" s="121"/>
      <c r="R133" s="121"/>
      <c r="S133" s="134">
        <f>[1]!b_stm07_cs(K107,39,L107,1)</f>
        <v>-8695206057.6100006</v>
      </c>
      <c r="T133" s="132"/>
      <c r="U133" s="132"/>
    </row>
    <row r="134" spans="1:21" x14ac:dyDescent="0.25">
      <c r="L134" s="54" t="s">
        <v>94</v>
      </c>
      <c r="M134" s="74">
        <f>[1]!b_stm07_bs(K107,75,L107,1)</f>
        <v>755137281</v>
      </c>
      <c r="N134" s="54" t="s">
        <v>95</v>
      </c>
      <c r="O134" s="74">
        <f>[1]!b_stm07_is(K107,55,L107,1)</f>
        <v>968683366.24000001</v>
      </c>
      <c r="P134" s="128" t="s">
        <v>96</v>
      </c>
      <c r="Q134" s="121"/>
      <c r="R134" s="121"/>
      <c r="S134" s="134">
        <f>[1]!b_stm07_cs(K107,59,L107,1)</f>
        <v>-2430192053.5500002</v>
      </c>
      <c r="T134" s="132"/>
      <c r="U134" s="132"/>
    </row>
    <row r="135" spans="1:21" ht="32.4" customHeight="1" x14ac:dyDescent="0.25">
      <c r="L135" s="54" t="s">
        <v>97</v>
      </c>
      <c r="M135" s="74">
        <f>[1]!b_stm07_bs(K107,88,L107,1)</f>
        <v>3950799871.71</v>
      </c>
      <c r="N135" s="54" t="s">
        <v>39</v>
      </c>
      <c r="O135" s="74">
        <f>[1]!b_stm07_is(K107,60,L107,1)</f>
        <v>830383826.38</v>
      </c>
      <c r="P135" s="128" t="s">
        <v>98</v>
      </c>
      <c r="Q135" s="121"/>
      <c r="R135" s="121"/>
      <c r="S135" s="133">
        <f>[1]!b_stm07_cs(K107,60,L107,1)</f>
        <v>28627000</v>
      </c>
      <c r="T135" s="132"/>
      <c r="U135" s="132"/>
    </row>
    <row r="136" spans="1:21" ht="21.6" customHeight="1" x14ac:dyDescent="0.25">
      <c r="L136" s="54" t="s">
        <v>99</v>
      </c>
      <c r="M136" s="74">
        <f>[1]!b_stm07_bs(K107,147,L107,1)</f>
        <v>0</v>
      </c>
      <c r="N136" s="54"/>
      <c r="O136" s="79"/>
      <c r="P136" s="128" t="s">
        <v>100</v>
      </c>
      <c r="Q136" s="121"/>
      <c r="R136" s="121"/>
      <c r="S136" s="133">
        <f>[1]!b_stm07_cs(K107,61,L107,1)</f>
        <v>8506204634.4499998</v>
      </c>
      <c r="T136" s="132"/>
      <c r="U136" s="132"/>
    </row>
    <row r="137" spans="1:21" x14ac:dyDescent="0.25">
      <c r="L137" s="54" t="s">
        <v>101</v>
      </c>
      <c r="M137" s="74">
        <f>[1]!b_stm07_bs(K107,94,L107,1)</f>
        <v>1441156184.8599999</v>
      </c>
      <c r="N137" s="54"/>
      <c r="O137" s="79"/>
      <c r="P137" s="128" t="s">
        <v>102</v>
      </c>
      <c r="Q137" s="121"/>
      <c r="R137" s="121"/>
      <c r="S137" s="133">
        <f>[1]!b_stm07_cs(K107,63,L107,1)</f>
        <v>9731490000</v>
      </c>
      <c r="T137" s="132"/>
      <c r="U137" s="132"/>
    </row>
    <row r="138" spans="1:21" x14ac:dyDescent="0.25">
      <c r="L138" s="54" t="s">
        <v>103</v>
      </c>
      <c r="M138" s="74">
        <f>[1]!b_stm07_bs(K107,95,L107,1)</f>
        <v>4653359200.3299999</v>
      </c>
      <c r="N138" s="54"/>
      <c r="O138" s="79"/>
      <c r="P138" s="128" t="s">
        <v>104</v>
      </c>
      <c r="Q138" s="121"/>
      <c r="R138" s="121"/>
      <c r="S138" s="134">
        <f>[1]!b_stm07_cs(K107,68,L107,1)</f>
        <v>22194400269.889999</v>
      </c>
      <c r="T138" s="132"/>
      <c r="U138" s="132"/>
    </row>
    <row r="139" spans="1:21" x14ac:dyDescent="0.25">
      <c r="L139" s="54" t="s">
        <v>105</v>
      </c>
      <c r="M139" s="80">
        <f>[1]!b_stm07_bs(K107,128,L107,1)</f>
        <v>43900891773.860001</v>
      </c>
      <c r="N139" s="14"/>
      <c r="O139" s="13"/>
      <c r="P139" s="128" t="s">
        <v>106</v>
      </c>
      <c r="Q139" s="121"/>
      <c r="R139" s="121"/>
      <c r="S139" s="133">
        <f>[1]!b_stm07_cs(K107,69,L107,1)</f>
        <v>11094993123.23</v>
      </c>
      <c r="T139" s="132"/>
      <c r="U139" s="132"/>
    </row>
    <row r="140" spans="1:21" ht="21.6" customHeight="1" x14ac:dyDescent="0.25">
      <c r="L140" s="54" t="s">
        <v>107</v>
      </c>
      <c r="M140" s="80">
        <f>[1]!b_stm07_bs(K107,141,L107,1)</f>
        <v>29320999296.869999</v>
      </c>
      <c r="N140" s="14"/>
      <c r="O140" s="13"/>
      <c r="P140" s="128" t="s">
        <v>108</v>
      </c>
      <c r="Q140" s="121"/>
      <c r="R140" s="121"/>
      <c r="S140" s="133">
        <f>[1]!b_stm07_cs(K107,75,L107,1)</f>
        <v>12734357806.74</v>
      </c>
      <c r="T140" s="132"/>
      <c r="U140" s="132"/>
    </row>
    <row r="141" spans="1:21" ht="21.6" customHeight="1" x14ac:dyDescent="0.25">
      <c r="L141" s="15" t="s">
        <v>109</v>
      </c>
      <c r="M141" s="80">
        <f>[1]!b_stm07_bs(K107,145,L107,1)</f>
        <v>73221891070.729996</v>
      </c>
      <c r="N141" s="14"/>
      <c r="O141" s="13"/>
      <c r="P141" s="128" t="s">
        <v>110</v>
      </c>
      <c r="Q141" s="121"/>
      <c r="R141" s="121"/>
      <c r="S141" s="134">
        <f>[1]!b_stm07_cs(K107,77,L107,1)</f>
        <v>9460042463.1499996</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221</v>
      </c>
      <c r="C2" s="117"/>
      <c r="D2" s="57" t="s">
        <v>3</v>
      </c>
      <c r="E2" s="116" t="s">
        <v>222</v>
      </c>
      <c r="F2" s="117"/>
      <c r="G2" s="117"/>
    </row>
    <row r="3" spans="1:12" ht="14.25" customHeight="1" x14ac:dyDescent="0.25">
      <c r="A3" s="57" t="s">
        <v>4</v>
      </c>
      <c r="B3" s="116" t="s">
        <v>223</v>
      </c>
      <c r="C3" s="117"/>
      <c r="D3" s="57" t="s">
        <v>5</v>
      </c>
      <c r="E3" s="116" t="s">
        <v>224</v>
      </c>
      <c r="F3" s="117"/>
      <c r="G3" s="117"/>
    </row>
    <row r="4" spans="1:12" ht="113.25" customHeight="1" x14ac:dyDescent="0.25">
      <c r="A4" s="57" t="s">
        <v>6</v>
      </c>
      <c r="B4" s="118" t="s">
        <v>225</v>
      </c>
      <c r="C4" s="117"/>
      <c r="D4" s="117"/>
      <c r="E4" s="117"/>
      <c r="F4" s="117"/>
      <c r="G4" s="117"/>
    </row>
    <row r="5" spans="1:12" ht="14.4" x14ac:dyDescent="0.25">
      <c r="A5" s="81" t="s">
        <v>111</v>
      </c>
      <c r="B5" s="137" t="s">
        <v>226</v>
      </c>
      <c r="C5" s="117"/>
      <c r="D5" s="117"/>
      <c r="E5" s="117"/>
      <c r="F5" s="138">
        <v>1</v>
      </c>
      <c r="G5" s="117"/>
    </row>
    <row r="6" spans="1:12" ht="11.25" customHeight="1" x14ac:dyDescent="0.25">
      <c r="A6" s="81" t="s">
        <v>112</v>
      </c>
      <c r="B6" s="137" t="s">
        <v>227</v>
      </c>
      <c r="C6" s="117"/>
      <c r="D6" s="117"/>
      <c r="E6" s="117"/>
      <c r="F6" s="138" t="s">
        <v>227</v>
      </c>
      <c r="G6" s="117"/>
    </row>
    <row r="7" spans="1:12" ht="11.25" customHeight="1" x14ac:dyDescent="0.25">
      <c r="A7" s="81" t="s">
        <v>113</v>
      </c>
      <c r="B7" s="137" t="s">
        <v>227</v>
      </c>
      <c r="C7" s="117"/>
      <c r="D7" s="117"/>
      <c r="E7" s="117"/>
      <c r="F7" s="138" t="s">
        <v>227</v>
      </c>
      <c r="G7" s="117"/>
    </row>
    <row r="8" spans="1:12" ht="11.25" customHeight="1" x14ac:dyDescent="0.25">
      <c r="A8" s="81" t="s">
        <v>114</v>
      </c>
      <c r="B8" s="137" t="s">
        <v>227</v>
      </c>
      <c r="C8" s="117"/>
      <c r="D8" s="117"/>
      <c r="E8" s="117"/>
      <c r="F8" s="138" t="s">
        <v>227</v>
      </c>
      <c r="G8" s="117"/>
    </row>
    <row r="9" spans="1:12" ht="11.25" customHeight="1" x14ac:dyDescent="0.25">
      <c r="A9" s="81" t="s">
        <v>115</v>
      </c>
      <c r="B9" s="137" t="s">
        <v>227</v>
      </c>
      <c r="C9" s="117"/>
      <c r="D9" s="117"/>
      <c r="E9" s="117"/>
      <c r="F9" s="138" t="s">
        <v>227</v>
      </c>
      <c r="G9" s="117"/>
    </row>
    <row r="11" spans="1:12" ht="14.4" customHeight="1" x14ac:dyDescent="0.25">
      <c r="A11" s="139" t="s">
        <v>116</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117</v>
      </c>
      <c r="B13" t="s">
        <v>118</v>
      </c>
      <c r="C13" t="s">
        <v>119</v>
      </c>
      <c r="D13" s="63">
        <v>3.93</v>
      </c>
      <c r="E13" s="63">
        <v>0.95355191256830596</v>
      </c>
      <c r="F13" s="64" t="s">
        <v>228</v>
      </c>
      <c r="G13" s="63">
        <v>4</v>
      </c>
    </row>
    <row r="14" spans="1:12" ht="14.4" customHeight="1" x14ac:dyDescent="0.25">
      <c r="A14" t="s">
        <v>120</v>
      </c>
      <c r="B14" t="s">
        <v>121</v>
      </c>
      <c r="C14" t="s">
        <v>122</v>
      </c>
      <c r="D14" s="63">
        <v>5</v>
      </c>
      <c r="E14" s="82">
        <v>2.6465753424657534</v>
      </c>
      <c r="F14" t="s">
        <v>25</v>
      </c>
      <c r="G14" s="63">
        <v>7</v>
      </c>
    </row>
    <row r="15" spans="1:12" ht="14.4" customHeight="1" x14ac:dyDescent="0.25">
      <c r="A15" t="s">
        <v>123</v>
      </c>
      <c r="B15" t="s">
        <v>124</v>
      </c>
      <c r="C15" t="s">
        <v>125</v>
      </c>
      <c r="D15" s="63">
        <v>4.58</v>
      </c>
      <c r="E15" s="82">
        <v>0.11506849315068493</v>
      </c>
      <c r="F15">
        <v>0</v>
      </c>
      <c r="G15" s="63">
        <v>5</v>
      </c>
    </row>
    <row r="16" spans="1:12" ht="14.4" customHeight="1" x14ac:dyDescent="0.25">
      <c r="A16" t="s">
        <v>126</v>
      </c>
      <c r="B16" t="s">
        <v>127</v>
      </c>
      <c r="C16" t="s">
        <v>128</v>
      </c>
      <c r="D16" s="63">
        <v>5.47</v>
      </c>
      <c r="E16" s="82">
        <v>0</v>
      </c>
      <c r="F16">
        <v>0</v>
      </c>
      <c r="G16" s="63">
        <v>3</v>
      </c>
    </row>
    <row r="17" spans="1:7" ht="14.4" customHeight="1" x14ac:dyDescent="0.25">
      <c r="A17" t="s">
        <v>129</v>
      </c>
      <c r="B17" t="s">
        <v>130</v>
      </c>
      <c r="C17" t="s">
        <v>131</v>
      </c>
      <c r="D17" s="63">
        <v>4.9000000000000004</v>
      </c>
      <c r="E17" s="82">
        <v>0</v>
      </c>
      <c r="F17">
        <v>0</v>
      </c>
      <c r="G17" s="63">
        <v>3</v>
      </c>
    </row>
    <row r="18" spans="1:7" ht="14.4" customHeight="1" x14ac:dyDescent="0.25">
      <c r="A18" t="s">
        <v>132</v>
      </c>
      <c r="B18" t="s">
        <v>133</v>
      </c>
      <c r="C18" t="s">
        <v>134</v>
      </c>
      <c r="D18" s="63">
        <v>3.1</v>
      </c>
      <c r="E18" s="82">
        <v>0</v>
      </c>
      <c r="F18" t="s">
        <v>228</v>
      </c>
      <c r="G18" s="63">
        <v>4</v>
      </c>
    </row>
    <row r="19" spans="1:7" ht="14.4" customHeight="1" x14ac:dyDescent="0.25">
      <c r="A19" t="s">
        <v>135</v>
      </c>
      <c r="B19" t="s">
        <v>136</v>
      </c>
      <c r="C19" t="s">
        <v>137</v>
      </c>
      <c r="D19" s="63">
        <v>3.47</v>
      </c>
      <c r="E19" s="82">
        <v>0.28219178082191781</v>
      </c>
      <c r="F19" t="s">
        <v>25</v>
      </c>
      <c r="G19" s="63">
        <v>8</v>
      </c>
    </row>
    <row r="20" spans="1:7" ht="14.4" customHeight="1" x14ac:dyDescent="0.25">
      <c r="A20" t="s">
        <v>138</v>
      </c>
      <c r="B20" t="s">
        <v>139</v>
      </c>
      <c r="C20" t="s">
        <v>140</v>
      </c>
      <c r="D20" s="63">
        <v>4</v>
      </c>
      <c r="E20" s="82">
        <v>1.6520547945205479</v>
      </c>
      <c r="F20" t="s">
        <v>25</v>
      </c>
      <c r="G20" s="63">
        <v>8</v>
      </c>
    </row>
    <row r="21" spans="1:7" ht="14.4" customHeight="1" x14ac:dyDescent="0.25">
      <c r="A21" t="s">
        <v>141</v>
      </c>
      <c r="B21" t="s">
        <v>142</v>
      </c>
      <c r="C21" t="s">
        <v>143</v>
      </c>
      <c r="D21" s="63">
        <v>4.5</v>
      </c>
      <c r="E21" s="82">
        <v>0</v>
      </c>
      <c r="F21" t="s">
        <v>25</v>
      </c>
      <c r="G21" s="63">
        <v>7</v>
      </c>
    </row>
    <row r="22" spans="1:7" ht="14.4" customHeight="1" x14ac:dyDescent="0.25">
      <c r="A22" t="s">
        <v>144</v>
      </c>
      <c r="B22" t="s">
        <v>145</v>
      </c>
      <c r="C22" t="s">
        <v>146</v>
      </c>
      <c r="D22" s="63">
        <v>7.1</v>
      </c>
      <c r="E22" s="82">
        <v>0</v>
      </c>
      <c r="F22" t="s">
        <v>25</v>
      </c>
      <c r="G22" s="63">
        <v>10</v>
      </c>
    </row>
    <row r="23" spans="1:7" ht="14.4" customHeight="1" x14ac:dyDescent="0.25">
      <c r="A23" t="s">
        <v>147</v>
      </c>
      <c r="B23" t="s">
        <v>148</v>
      </c>
      <c r="C23" t="s">
        <v>149</v>
      </c>
      <c r="D23" s="63">
        <v>5.0199999999999996</v>
      </c>
      <c r="E23" s="82">
        <v>0</v>
      </c>
      <c r="F23" t="s">
        <v>25</v>
      </c>
      <c r="G23" s="63">
        <v>5</v>
      </c>
    </row>
    <row r="24" spans="1:7" ht="14.4" customHeight="1" x14ac:dyDescent="0.25">
      <c r="D24" s="63"/>
      <c r="E24" s="82"/>
      <c r="G24" s="63"/>
    </row>
    <row r="25" spans="1:7" ht="14.4" customHeight="1" x14ac:dyDescent="0.25">
      <c r="D25" s="63"/>
      <c r="E25" s="82"/>
      <c r="G25" s="63"/>
    </row>
    <row r="26" spans="1:7" ht="14.4" customHeight="1" x14ac:dyDescent="0.25">
      <c r="D26" s="63"/>
      <c r="E26" s="82"/>
      <c r="G26" s="63"/>
    </row>
    <row r="27" spans="1:7" ht="14.4" customHeight="1" x14ac:dyDescent="0.25">
      <c r="D27" s="63"/>
      <c r="E27" s="82"/>
      <c r="G27" s="63"/>
    </row>
    <row r="28" spans="1:7" ht="14.4" customHeight="1" x14ac:dyDescent="0.25">
      <c r="D28" s="63"/>
      <c r="E28" s="82"/>
      <c r="G28" s="63"/>
    </row>
    <row r="29" spans="1:7" ht="14.4" customHeight="1" x14ac:dyDescent="0.25">
      <c r="A29" s="140" t="s">
        <v>150</v>
      </c>
      <c r="B29" s="140"/>
      <c r="C29" s="140"/>
      <c r="D29" s="140"/>
      <c r="E29" s="82"/>
      <c r="G29" s="63"/>
    </row>
    <row r="30" spans="1:7" ht="14.4" customHeight="1" x14ac:dyDescent="0.25">
      <c r="A30" s="83" t="s">
        <v>151</v>
      </c>
      <c r="B30" s="83" t="s">
        <v>152</v>
      </c>
      <c r="C30" s="83" t="s">
        <v>153</v>
      </c>
      <c r="D30" s="84" t="s">
        <v>154</v>
      </c>
      <c r="E30" s="82"/>
      <c r="G30" s="63"/>
    </row>
    <row r="31" spans="1:7" ht="14.4" customHeight="1" x14ac:dyDescent="0.25">
      <c r="A31" t="s">
        <v>155</v>
      </c>
      <c r="B31" t="s">
        <v>25</v>
      </c>
      <c r="C31" t="s">
        <v>156</v>
      </c>
      <c r="D31" s="63" t="s">
        <v>157</v>
      </c>
      <c r="E31" s="82"/>
      <c r="G31" s="63"/>
    </row>
    <row r="32" spans="1:7" ht="14.4" customHeight="1" x14ac:dyDescent="0.25">
      <c r="A32" t="s">
        <v>158</v>
      </c>
      <c r="B32" t="s">
        <v>25</v>
      </c>
      <c r="C32" t="s">
        <v>156</v>
      </c>
      <c r="D32" s="63" t="s">
        <v>159</v>
      </c>
      <c r="E32" s="82"/>
      <c r="G32" s="63"/>
    </row>
    <row r="33" spans="1:7" ht="14.4" customHeight="1" x14ac:dyDescent="0.25">
      <c r="A33" t="s">
        <v>160</v>
      </c>
      <c r="B33" t="s">
        <v>25</v>
      </c>
      <c r="C33" t="s">
        <v>156</v>
      </c>
      <c r="D33" s="63" t="s">
        <v>159</v>
      </c>
      <c r="E33" s="82"/>
      <c r="G33" s="63"/>
    </row>
    <row r="34" spans="1:7" ht="14.4" customHeight="1" x14ac:dyDescent="0.25">
      <c r="A34" t="s">
        <v>161</v>
      </c>
      <c r="B34" t="s">
        <v>25</v>
      </c>
      <c r="C34" t="s">
        <v>156</v>
      </c>
      <c r="D34" s="63" t="s">
        <v>159</v>
      </c>
      <c r="E34" s="82"/>
      <c r="G34" s="63"/>
    </row>
    <row r="35" spans="1:7" ht="14.4" customHeight="1" x14ac:dyDescent="0.25">
      <c r="A35" t="s">
        <v>162</v>
      </c>
      <c r="B35" t="s">
        <v>25</v>
      </c>
      <c r="C35" t="s">
        <v>156</v>
      </c>
      <c r="D35" s="63" t="s">
        <v>159</v>
      </c>
      <c r="E35" s="82"/>
      <c r="G35" s="63"/>
    </row>
    <row r="36" spans="1:7" ht="14.4" customHeight="1" x14ac:dyDescent="0.25">
      <c r="A36" t="s">
        <v>163</v>
      </c>
      <c r="B36" t="s">
        <v>25</v>
      </c>
      <c r="C36" t="s">
        <v>156</v>
      </c>
      <c r="D36" s="63" t="s">
        <v>159</v>
      </c>
      <c r="E36" s="82"/>
      <c r="G36" s="63"/>
    </row>
    <row r="37" spans="1:7" ht="14.4" customHeight="1" x14ac:dyDescent="0.25">
      <c r="A37" t="s">
        <v>164</v>
      </c>
      <c r="B37" t="s">
        <v>25</v>
      </c>
      <c r="C37" t="s">
        <v>156</v>
      </c>
      <c r="D37" s="63" t="s">
        <v>159</v>
      </c>
      <c r="E37" s="82"/>
      <c r="G37" s="63"/>
    </row>
    <row r="38" spans="1:7" ht="14.4" customHeight="1" x14ac:dyDescent="0.25">
      <c r="A38" t="s">
        <v>165</v>
      </c>
      <c r="B38" t="s">
        <v>25</v>
      </c>
      <c r="C38" t="s">
        <v>156</v>
      </c>
      <c r="D38" s="63" t="s">
        <v>159</v>
      </c>
      <c r="E38" s="82"/>
      <c r="G38" s="63"/>
    </row>
    <row r="39" spans="1:7" ht="14.4" customHeight="1" x14ac:dyDescent="0.25">
      <c r="A39" t="s">
        <v>166</v>
      </c>
      <c r="B39" t="s">
        <v>25</v>
      </c>
      <c r="C39" t="s">
        <v>156</v>
      </c>
      <c r="D39" s="63" t="s">
        <v>159</v>
      </c>
      <c r="E39" s="82"/>
      <c r="G39" s="63"/>
    </row>
    <row r="40" spans="1:7" ht="14.4" customHeight="1" x14ac:dyDescent="0.25">
      <c r="A40" t="s">
        <v>167</v>
      </c>
      <c r="B40" t="s">
        <v>25</v>
      </c>
      <c r="C40" t="s">
        <v>156</v>
      </c>
      <c r="D40" s="63" t="s">
        <v>159</v>
      </c>
      <c r="E40" s="82"/>
      <c r="G40" s="63"/>
    </row>
    <row r="41" spans="1:7" ht="14.4" customHeight="1" x14ac:dyDescent="0.25">
      <c r="A41" t="s">
        <v>168</v>
      </c>
      <c r="B41" t="s">
        <v>25</v>
      </c>
      <c r="C41" t="s">
        <v>156</v>
      </c>
      <c r="D41" s="63" t="s">
        <v>159</v>
      </c>
      <c r="E41" s="82"/>
      <c r="G41" s="63"/>
    </row>
    <row r="42" spans="1:7" ht="14.4" customHeight="1" x14ac:dyDescent="0.25">
      <c r="A42" t="s">
        <v>169</v>
      </c>
      <c r="B42" t="s">
        <v>25</v>
      </c>
      <c r="C42" t="s">
        <v>156</v>
      </c>
      <c r="D42" s="63" t="s">
        <v>159</v>
      </c>
      <c r="E42" s="82"/>
      <c r="G42" s="63"/>
    </row>
    <row r="43" spans="1:7" ht="14.4" customHeight="1" x14ac:dyDescent="0.25">
      <c r="A43" t="s">
        <v>170</v>
      </c>
      <c r="B43" t="s">
        <v>25</v>
      </c>
      <c r="C43" t="s">
        <v>156</v>
      </c>
      <c r="D43" s="63" t="s">
        <v>159</v>
      </c>
      <c r="E43" s="82"/>
      <c r="G43" s="63"/>
    </row>
    <row r="44" spans="1:7" ht="14.4" customHeight="1" x14ac:dyDescent="0.25">
      <c r="A44" t="s">
        <v>171</v>
      </c>
      <c r="B44" t="s">
        <v>25</v>
      </c>
      <c r="C44" t="s">
        <v>172</v>
      </c>
      <c r="D44" s="63" t="s">
        <v>159</v>
      </c>
      <c r="E44" s="82"/>
      <c r="G44" s="63"/>
    </row>
    <row r="45" spans="1:7" ht="14.4" customHeight="1" x14ac:dyDescent="0.25">
      <c r="A45" t="s">
        <v>173</v>
      </c>
      <c r="B45" t="s">
        <v>25</v>
      </c>
      <c r="C45" t="s">
        <v>156</v>
      </c>
      <c r="D45" s="63" t="s">
        <v>159</v>
      </c>
      <c r="E45" s="82"/>
      <c r="G45" s="63"/>
    </row>
    <row r="46" spans="1:7" ht="14.4" customHeight="1" x14ac:dyDescent="0.25">
      <c r="A46" t="s">
        <v>174</v>
      </c>
      <c r="B46" t="s">
        <v>25</v>
      </c>
      <c r="C46" t="s">
        <v>156</v>
      </c>
      <c r="D46" s="63" t="s">
        <v>159</v>
      </c>
      <c r="E46" s="82"/>
      <c r="G46" s="63"/>
    </row>
    <row r="47" spans="1:7" ht="14.4" customHeight="1" x14ac:dyDescent="0.25">
      <c r="A47" t="s">
        <v>175</v>
      </c>
      <c r="B47" t="s">
        <v>25</v>
      </c>
      <c r="C47" t="s">
        <v>156</v>
      </c>
      <c r="D47" s="63" t="s">
        <v>159</v>
      </c>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176</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9:D2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50</v>
      </c>
      <c r="B1" s="117"/>
      <c r="C1" s="117"/>
      <c r="D1" s="117"/>
      <c r="E1" s="117"/>
      <c r="F1" s="117"/>
      <c r="G1" s="117"/>
      <c r="H1" s="117"/>
      <c r="I1" s="117"/>
      <c r="J1" s="117"/>
    </row>
    <row r="2" spans="1:10" x14ac:dyDescent="0.25">
      <c r="A2" s="139" t="s">
        <v>51</v>
      </c>
      <c r="B2" s="117"/>
      <c r="C2" s="117"/>
      <c r="D2" s="117"/>
      <c r="E2" s="117"/>
      <c r="F2" s="117"/>
      <c r="G2" s="142">
        <v>2017</v>
      </c>
      <c r="H2" s="117"/>
      <c r="I2" s="117"/>
      <c r="J2" s="117"/>
    </row>
    <row r="3" spans="1:10" ht="12.75" customHeight="1" x14ac:dyDescent="0.25">
      <c r="A3" s="139" t="s">
        <v>52</v>
      </c>
      <c r="B3" s="117"/>
      <c r="C3" s="139" t="s">
        <v>53</v>
      </c>
      <c r="D3" s="117"/>
      <c r="E3" s="139" t="s">
        <v>54</v>
      </c>
      <c r="F3" s="117"/>
      <c r="G3" s="139" t="s">
        <v>55</v>
      </c>
      <c r="H3" s="117"/>
      <c r="I3" s="139" t="s">
        <v>56</v>
      </c>
      <c r="J3" s="117"/>
    </row>
    <row r="4" spans="1:10" ht="21.6" customHeight="1" x14ac:dyDescent="0.25">
      <c r="A4" s="57" t="s">
        <v>57</v>
      </c>
      <c r="B4" s="85">
        <v>0.59955999999999998</v>
      </c>
      <c r="C4" s="57" t="s">
        <v>33</v>
      </c>
      <c r="D4" s="86">
        <v>1.4092</v>
      </c>
      <c r="E4" s="57" t="s">
        <v>37</v>
      </c>
      <c r="F4" s="85">
        <v>0.71240000000000014</v>
      </c>
      <c r="G4" s="57" t="s">
        <v>38</v>
      </c>
      <c r="H4" s="85">
        <v>0.25086900000000001</v>
      </c>
      <c r="I4" s="57"/>
      <c r="J4" s="87"/>
    </row>
    <row r="5" spans="1:10" ht="15.75" customHeight="1" x14ac:dyDescent="0.25">
      <c r="A5" s="57" t="s">
        <v>58</v>
      </c>
      <c r="B5" s="85">
        <v>0.54100099999999995</v>
      </c>
      <c r="C5" s="57" t="s">
        <v>59</v>
      </c>
      <c r="D5" s="86">
        <v>1.3937999999999999</v>
      </c>
      <c r="E5" s="57" t="s">
        <v>60</v>
      </c>
      <c r="F5" s="86">
        <v>7.7850000000000001</v>
      </c>
      <c r="G5" s="57" t="s">
        <v>61</v>
      </c>
      <c r="H5" s="85">
        <v>0.22182300000000002</v>
      </c>
      <c r="I5" s="57"/>
      <c r="J5" s="87"/>
    </row>
    <row r="6" spans="1:10" ht="15" customHeight="1" x14ac:dyDescent="0.25">
      <c r="A6" s="57" t="s">
        <v>62</v>
      </c>
      <c r="B6" s="85">
        <v>0.64033699999999993</v>
      </c>
      <c r="C6" s="57" t="s">
        <v>35</v>
      </c>
      <c r="D6" s="88">
        <v>3.5400000000000001E-2</v>
      </c>
      <c r="E6" s="57" t="s">
        <v>63</v>
      </c>
      <c r="F6" s="86">
        <v>5.2069999999999999</v>
      </c>
      <c r="G6" s="57" t="s">
        <v>41</v>
      </c>
      <c r="H6" s="85">
        <v>2.8081000000000002E-2</v>
      </c>
      <c r="I6" s="57"/>
      <c r="J6" s="87"/>
    </row>
    <row r="7" spans="1:10" ht="14.25" customHeight="1" x14ac:dyDescent="0.25">
      <c r="A7" s="57" t="s">
        <v>34</v>
      </c>
      <c r="B7" s="88">
        <v>0.37422872364487719</v>
      </c>
      <c r="C7" s="57" t="s">
        <v>64</v>
      </c>
      <c r="D7" s="88">
        <v>7.9278000000000004</v>
      </c>
      <c r="E7" s="57" t="s">
        <v>65</v>
      </c>
      <c r="F7" s="86">
        <v>0.1285</v>
      </c>
      <c r="G7" s="57" t="s">
        <v>66</v>
      </c>
      <c r="H7" s="85">
        <v>1.6976000000000002E-2</v>
      </c>
      <c r="I7" s="57"/>
      <c r="J7" s="87"/>
    </row>
    <row r="8" spans="1:10" x14ac:dyDescent="0.25">
      <c r="A8" s="57"/>
      <c r="B8" s="89"/>
      <c r="C8" s="57"/>
      <c r="D8" s="90"/>
      <c r="E8" s="57" t="s">
        <v>67</v>
      </c>
      <c r="F8" s="86">
        <v>6.7100000000000007E-2</v>
      </c>
      <c r="G8" s="57"/>
      <c r="H8" s="89"/>
      <c r="I8" s="57"/>
      <c r="J8" s="89"/>
    </row>
    <row r="9" spans="1:10" ht="13.5" customHeight="1" x14ac:dyDescent="0.25">
      <c r="A9" s="141" t="s">
        <v>68</v>
      </c>
      <c r="B9" s="117"/>
      <c r="C9" s="117"/>
      <c r="D9" s="117"/>
      <c r="E9" s="117"/>
      <c r="F9" s="117"/>
      <c r="G9" s="117"/>
      <c r="H9" s="117"/>
      <c r="I9" s="117"/>
      <c r="J9" s="117"/>
    </row>
    <row r="10" spans="1:10" ht="13.5" customHeight="1" x14ac:dyDescent="0.25">
      <c r="A10" s="139" t="s">
        <v>69</v>
      </c>
      <c r="B10" s="117"/>
      <c r="C10" s="117"/>
      <c r="D10" s="117"/>
      <c r="E10" s="117"/>
      <c r="F10" s="117"/>
      <c r="G10" s="143">
        <v>2017</v>
      </c>
      <c r="H10" s="117"/>
      <c r="I10" s="117"/>
      <c r="J10" s="117"/>
    </row>
    <row r="11" spans="1:10" x14ac:dyDescent="0.25">
      <c r="A11" s="139" t="s">
        <v>70</v>
      </c>
      <c r="B11" s="117"/>
      <c r="C11" s="139" t="s">
        <v>71</v>
      </c>
      <c r="D11" s="117"/>
      <c r="E11" s="139" t="s">
        <v>72</v>
      </c>
      <c r="F11" s="117"/>
      <c r="G11" s="117"/>
      <c r="H11" s="117"/>
      <c r="I11" s="117"/>
      <c r="J11" s="117"/>
    </row>
    <row r="12" spans="1:10" ht="14.25" customHeight="1" x14ac:dyDescent="0.25">
      <c r="A12" s="57" t="s">
        <v>73</v>
      </c>
      <c r="B12" s="91">
        <v>76.471706607299993</v>
      </c>
      <c r="C12" s="57" t="s">
        <v>74</v>
      </c>
      <c r="D12" s="88">
        <v>43.799814238900005</v>
      </c>
      <c r="E12" s="144" t="s">
        <v>75</v>
      </c>
      <c r="F12" s="117"/>
      <c r="G12" s="117"/>
      <c r="H12" s="145">
        <v>31.202480744799999</v>
      </c>
      <c r="I12" s="117"/>
      <c r="J12" s="117"/>
    </row>
    <row r="13" spans="1:10" ht="14.25" customHeight="1" x14ac:dyDescent="0.25">
      <c r="A13" s="57" t="s">
        <v>76</v>
      </c>
      <c r="B13" s="91">
        <v>5.0517655912999997</v>
      </c>
      <c r="C13" s="57" t="s">
        <v>77</v>
      </c>
      <c r="D13" s="88">
        <v>48.847340967700006</v>
      </c>
      <c r="E13" s="144" t="s">
        <v>78</v>
      </c>
      <c r="F13" s="117"/>
      <c r="G13" s="117"/>
      <c r="H13" s="145">
        <v>21.379576326500001</v>
      </c>
      <c r="I13" s="117"/>
      <c r="J13" s="117"/>
    </row>
    <row r="14" spans="1:10" ht="14.25" customHeight="1" x14ac:dyDescent="0.25">
      <c r="A14" s="57" t="s">
        <v>79</v>
      </c>
      <c r="B14" s="91">
        <v>46.969324680900002</v>
      </c>
      <c r="C14" s="57" t="s">
        <v>80</v>
      </c>
      <c r="D14" s="88">
        <v>32.811790747800003</v>
      </c>
      <c r="E14" s="144" t="s">
        <v>81</v>
      </c>
      <c r="F14" s="117"/>
      <c r="G14" s="117"/>
      <c r="H14" s="145">
        <v>102.63241865489999</v>
      </c>
      <c r="I14" s="117"/>
      <c r="J14" s="117"/>
    </row>
    <row r="15" spans="1:10" ht="14.25" customHeight="1" x14ac:dyDescent="0.25">
      <c r="A15" s="57" t="s">
        <v>82</v>
      </c>
      <c r="B15" s="91">
        <v>51.547776059399993</v>
      </c>
      <c r="C15" s="57" t="s">
        <v>83</v>
      </c>
      <c r="D15" s="88">
        <v>0.2165725577</v>
      </c>
      <c r="E15" s="144" t="s">
        <v>84</v>
      </c>
      <c r="F15" s="117"/>
      <c r="G15" s="117"/>
      <c r="H15" s="145">
        <v>11.6421167997</v>
      </c>
      <c r="I15" s="117"/>
      <c r="J15" s="117"/>
    </row>
    <row r="16" spans="1:10" ht="14.25" customHeight="1" x14ac:dyDescent="0.25">
      <c r="A16" s="57" t="s">
        <v>85</v>
      </c>
      <c r="B16" s="91">
        <v>92.631335946200011</v>
      </c>
      <c r="C16" s="57" t="s">
        <v>86</v>
      </c>
      <c r="D16" s="88">
        <v>11.7793370256</v>
      </c>
      <c r="E16" s="144" t="s">
        <v>87</v>
      </c>
      <c r="F16" s="117"/>
      <c r="G16" s="117"/>
      <c r="H16" s="145">
        <v>152.5453912211</v>
      </c>
      <c r="I16" s="117"/>
      <c r="J16" s="117"/>
    </row>
    <row r="17" spans="1:10" ht="14.25" customHeight="1" x14ac:dyDescent="0.25">
      <c r="A17" s="57" t="s">
        <v>88</v>
      </c>
      <c r="B17" s="91">
        <v>4.6461252710999998</v>
      </c>
      <c r="C17" s="57" t="s">
        <v>89</v>
      </c>
      <c r="D17" s="88">
        <v>1.3982519365999999</v>
      </c>
      <c r="E17" s="144" t="s">
        <v>90</v>
      </c>
      <c r="F17" s="117"/>
      <c r="G17" s="117"/>
      <c r="H17" s="145">
        <v>189.58447923099999</v>
      </c>
      <c r="I17" s="117"/>
      <c r="J17" s="117"/>
    </row>
    <row r="18" spans="1:10" ht="14.25" customHeight="1" x14ac:dyDescent="0.25">
      <c r="A18" s="57" t="s">
        <v>91</v>
      </c>
      <c r="B18" s="91">
        <v>732.21891070729998</v>
      </c>
      <c r="C18" s="57" t="s">
        <v>92</v>
      </c>
      <c r="D18" s="88">
        <v>9.7158163646000002</v>
      </c>
      <c r="E18" s="144" t="s">
        <v>93</v>
      </c>
      <c r="F18" s="117"/>
      <c r="G18" s="117"/>
      <c r="H18" s="145">
        <v>-86.95206057610001</v>
      </c>
      <c r="I18" s="117"/>
      <c r="J18" s="117"/>
    </row>
    <row r="19" spans="1:10" ht="14.25" customHeight="1" x14ac:dyDescent="0.25">
      <c r="A19" s="57" t="s">
        <v>94</v>
      </c>
      <c r="B19" s="91">
        <v>7.5513728100000002</v>
      </c>
      <c r="C19" s="57" t="s">
        <v>95</v>
      </c>
      <c r="D19" s="88">
        <v>9.6868336623999998</v>
      </c>
      <c r="E19" s="144" t="s">
        <v>96</v>
      </c>
      <c r="F19" s="117"/>
      <c r="G19" s="117"/>
      <c r="H19" s="145">
        <v>-24.301920535500003</v>
      </c>
      <c r="I19" s="117"/>
      <c r="J19" s="117"/>
    </row>
    <row r="20" spans="1:10" ht="27" customHeight="1" x14ac:dyDescent="0.25">
      <c r="A20" s="57" t="s">
        <v>97</v>
      </c>
      <c r="B20" s="91">
        <v>39.507998717100001</v>
      </c>
      <c r="C20" s="57" t="s">
        <v>39</v>
      </c>
      <c r="D20" s="88">
        <v>8.3038382637999995</v>
      </c>
      <c r="E20" s="144" t="s">
        <v>98</v>
      </c>
      <c r="F20" s="117"/>
      <c r="G20" s="117"/>
      <c r="H20" s="145">
        <v>0.28627000000000002</v>
      </c>
      <c r="I20" s="117"/>
      <c r="J20" s="117"/>
    </row>
    <row r="21" spans="1:10" ht="16.5" customHeight="1" x14ac:dyDescent="0.25">
      <c r="A21" s="57" t="s">
        <v>99</v>
      </c>
      <c r="B21" s="91">
        <v>0</v>
      </c>
      <c r="C21" s="57"/>
      <c r="D21" s="92"/>
      <c r="E21" s="144" t="s">
        <v>100</v>
      </c>
      <c r="F21" s="117"/>
      <c r="G21" s="117"/>
      <c r="H21" s="145">
        <v>85.062046344500004</v>
      </c>
      <c r="I21" s="117"/>
      <c r="J21" s="117"/>
    </row>
    <row r="22" spans="1:10" ht="14.25" customHeight="1" x14ac:dyDescent="0.25">
      <c r="A22" s="57" t="s">
        <v>101</v>
      </c>
      <c r="B22" s="91">
        <v>14.411561848599998</v>
      </c>
      <c r="C22" s="57"/>
      <c r="D22" s="92"/>
      <c r="E22" s="144" t="s">
        <v>102</v>
      </c>
      <c r="F22" s="117"/>
      <c r="G22" s="117"/>
      <c r="H22" s="145">
        <v>97.314899999999994</v>
      </c>
      <c r="I22" s="117"/>
      <c r="J22" s="117"/>
    </row>
    <row r="23" spans="1:10" ht="14.25" customHeight="1" x14ac:dyDescent="0.25">
      <c r="A23" s="57" t="s">
        <v>103</v>
      </c>
      <c r="B23" s="91">
        <v>46.533592003300001</v>
      </c>
      <c r="C23" s="57"/>
      <c r="D23" s="92"/>
      <c r="E23" s="144" t="s">
        <v>104</v>
      </c>
      <c r="F23" s="117"/>
      <c r="G23" s="117"/>
      <c r="H23" s="145">
        <v>221.94400269889999</v>
      </c>
      <c r="I23" s="117"/>
      <c r="J23" s="117"/>
    </row>
    <row r="24" spans="1:10" ht="14.25" customHeight="1" x14ac:dyDescent="0.25">
      <c r="A24" s="57" t="s">
        <v>105</v>
      </c>
      <c r="B24" s="91">
        <v>439.00891773860002</v>
      </c>
      <c r="C24" s="93"/>
      <c r="D24" s="90"/>
      <c r="E24" s="144" t="s">
        <v>106</v>
      </c>
      <c r="F24" s="117"/>
      <c r="G24" s="117"/>
      <c r="H24" s="145">
        <v>110.94993123229999</v>
      </c>
      <c r="I24" s="117"/>
      <c r="J24" s="117"/>
    </row>
    <row r="25" spans="1:10" ht="14.25" customHeight="1" x14ac:dyDescent="0.25">
      <c r="A25" s="57" t="s">
        <v>107</v>
      </c>
      <c r="B25" s="91">
        <v>293.20999296869996</v>
      </c>
      <c r="C25" s="93"/>
      <c r="D25" s="90"/>
      <c r="E25" s="144" t="s">
        <v>108</v>
      </c>
      <c r="F25" s="117"/>
      <c r="G25" s="117"/>
      <c r="H25" s="145">
        <v>127.3435780674</v>
      </c>
      <c r="I25" s="117"/>
      <c r="J25" s="117"/>
    </row>
    <row r="26" spans="1:10" ht="14.25" customHeight="1" x14ac:dyDescent="0.25">
      <c r="A26" s="94" t="s">
        <v>109</v>
      </c>
      <c r="B26" s="91">
        <v>732.21891070729998</v>
      </c>
      <c r="C26" s="93"/>
      <c r="D26" s="90"/>
      <c r="E26" s="144" t="s">
        <v>110</v>
      </c>
      <c r="F26" s="117"/>
      <c r="G26" s="117"/>
      <c r="H26" s="145">
        <v>94.60042463149999</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177</v>
      </c>
      <c r="B1" s="121"/>
      <c r="C1" s="121"/>
      <c r="D1" s="121"/>
      <c r="E1" s="121"/>
      <c r="F1" s="121"/>
      <c r="G1" s="121"/>
      <c r="H1" s="121"/>
      <c r="I1" s="121"/>
    </row>
    <row r="2" spans="1:10" ht="46.5" customHeight="1" x14ac:dyDescent="0.25">
      <c r="A2" s="54" t="s">
        <v>22</v>
      </c>
      <c r="B2" s="43" t="s">
        <v>221</v>
      </c>
      <c r="C2" s="43" t="s">
        <v>178</v>
      </c>
      <c r="D2" s="43" t="s">
        <v>229</v>
      </c>
      <c r="E2" s="43" t="s">
        <v>230</v>
      </c>
      <c r="F2" s="43" t="s">
        <v>190</v>
      </c>
      <c r="G2" s="43" t="s">
        <v>227</v>
      </c>
      <c r="H2" s="43" t="s">
        <v>227</v>
      </c>
      <c r="I2" s="43" t="s">
        <v>227</v>
      </c>
      <c r="J2" s="43" t="s">
        <v>227</v>
      </c>
    </row>
    <row r="3" spans="1:10" x14ac:dyDescent="0.25">
      <c r="A3" s="54" t="s">
        <v>24</v>
      </c>
      <c r="B3" s="96" t="s">
        <v>25</v>
      </c>
      <c r="C3" s="97" t="s">
        <v>179</v>
      </c>
      <c r="D3" s="96" t="s">
        <v>25</v>
      </c>
      <c r="E3" s="96" t="s">
        <v>25</v>
      </c>
      <c r="F3" s="96" t="s">
        <v>25</v>
      </c>
      <c r="G3" s="96" t="s">
        <v>227</v>
      </c>
      <c r="H3" s="96" t="s">
        <v>227</v>
      </c>
      <c r="I3" s="96" t="s">
        <v>227</v>
      </c>
      <c r="J3" s="96" t="s">
        <v>227</v>
      </c>
    </row>
    <row r="4" spans="1:10" s="7" customFormat="1" ht="21.6" x14ac:dyDescent="0.25">
      <c r="A4" s="9" t="s">
        <v>3</v>
      </c>
      <c r="B4" s="98" t="s">
        <v>222</v>
      </c>
      <c r="C4" s="97" t="s">
        <v>179</v>
      </c>
      <c r="D4" s="98" t="s">
        <v>222</v>
      </c>
      <c r="E4" s="98" t="s">
        <v>222</v>
      </c>
      <c r="F4" s="98" t="s">
        <v>222</v>
      </c>
      <c r="G4" s="98" t="s">
        <v>227</v>
      </c>
      <c r="H4" s="98" t="s">
        <v>227</v>
      </c>
      <c r="I4" s="98" t="s">
        <v>227</v>
      </c>
      <c r="J4" s="98" t="s">
        <v>227</v>
      </c>
    </row>
    <row r="5" spans="1:10" s="7" customFormat="1" x14ac:dyDescent="0.25">
      <c r="A5" s="9" t="s">
        <v>29</v>
      </c>
      <c r="B5" s="99" t="s">
        <v>30</v>
      </c>
      <c r="C5" s="97" t="s">
        <v>179</v>
      </c>
      <c r="D5" s="99" t="s">
        <v>30</v>
      </c>
      <c r="E5" s="99" t="s">
        <v>30</v>
      </c>
      <c r="F5" s="99" t="s">
        <v>30</v>
      </c>
      <c r="G5" s="99" t="s">
        <v>227</v>
      </c>
      <c r="H5" s="99" t="s">
        <v>227</v>
      </c>
      <c r="I5" s="99" t="s">
        <v>227</v>
      </c>
      <c r="J5" s="99" t="s">
        <v>227</v>
      </c>
    </row>
    <row r="6" spans="1:10" x14ac:dyDescent="0.25">
      <c r="A6" s="54" t="s">
        <v>31</v>
      </c>
      <c r="B6" s="100">
        <v>732.21891070729998</v>
      </c>
      <c r="C6" s="97">
        <v>1170.0960530853665</v>
      </c>
      <c r="D6" s="100">
        <v>560.45141880410006</v>
      </c>
      <c r="E6" s="100">
        <v>616.84709002519992</v>
      </c>
      <c r="F6" s="100">
        <v>2332.9896504267999</v>
      </c>
      <c r="G6" s="100" t="s">
        <v>227</v>
      </c>
      <c r="H6" s="100" t="s">
        <v>227</v>
      </c>
      <c r="I6" s="100" t="s">
        <v>227</v>
      </c>
      <c r="J6" s="100" t="s">
        <v>227</v>
      </c>
    </row>
    <row r="7" spans="1:10" x14ac:dyDescent="0.25">
      <c r="A7" s="54" t="s">
        <v>32</v>
      </c>
      <c r="B7" s="44">
        <v>0.59955999999999998</v>
      </c>
      <c r="C7" s="97">
        <v>0.39758433333333332</v>
      </c>
      <c r="D7" s="44">
        <v>0.49618600000000002</v>
      </c>
      <c r="E7" s="44">
        <v>0.47465000000000002</v>
      </c>
      <c r="F7" s="44">
        <v>0.221917</v>
      </c>
      <c r="G7" s="44" t="s">
        <v>227</v>
      </c>
      <c r="H7" s="44" t="s">
        <v>227</v>
      </c>
      <c r="I7" s="44" t="s">
        <v>227</v>
      </c>
      <c r="J7" s="44" t="s">
        <v>227</v>
      </c>
    </row>
    <row r="8" spans="1:10" x14ac:dyDescent="0.25">
      <c r="A8" s="54" t="s">
        <v>33</v>
      </c>
      <c r="B8" s="100">
        <v>1.4092</v>
      </c>
      <c r="C8" s="97">
        <v>5.6478000000000002</v>
      </c>
      <c r="D8" s="100">
        <v>1.2819</v>
      </c>
      <c r="E8" s="100">
        <v>10.7788</v>
      </c>
      <c r="F8" s="100">
        <v>4.8826999999999998</v>
      </c>
      <c r="G8" s="100" t="s">
        <v>227</v>
      </c>
      <c r="H8" s="100" t="s">
        <v>227</v>
      </c>
      <c r="I8" s="100" t="s">
        <v>227</v>
      </c>
      <c r="J8" s="100" t="s">
        <v>227</v>
      </c>
    </row>
    <row r="9" spans="1:10" x14ac:dyDescent="0.25">
      <c r="A9" s="54" t="s">
        <v>34</v>
      </c>
      <c r="B9" s="96">
        <v>0.37422872364487719</v>
      </c>
      <c r="C9" s="97">
        <v>0.37194321990927731</v>
      </c>
      <c r="D9" s="96">
        <v>0.37236058464116234</v>
      </c>
      <c r="E9" s="96">
        <v>0.69823844179520478</v>
      </c>
      <c r="F9" s="96">
        <v>4.5230633291464761E-2</v>
      </c>
      <c r="G9" s="96" t="s">
        <v>227</v>
      </c>
      <c r="H9" s="96" t="s">
        <v>227</v>
      </c>
      <c r="I9" s="96" t="s">
        <v>227</v>
      </c>
      <c r="J9" s="96" t="s">
        <v>227</v>
      </c>
    </row>
    <row r="10" spans="1:10" ht="21.6" customHeight="1" x14ac:dyDescent="0.25">
      <c r="A10" s="54" t="s">
        <v>35</v>
      </c>
      <c r="B10" s="100">
        <v>3.5400000000000001E-2</v>
      </c>
      <c r="C10" s="97">
        <v>1.3666666666666666E-2</v>
      </c>
      <c r="D10" s="100">
        <v>-1.5800000000000002E-2</v>
      </c>
      <c r="E10" s="100">
        <v>4.48E-2</v>
      </c>
      <c r="F10" s="100">
        <v>1.2E-2</v>
      </c>
      <c r="G10" s="100" t="s">
        <v>227</v>
      </c>
      <c r="H10" s="100" t="s">
        <v>227</v>
      </c>
      <c r="I10" s="100" t="s">
        <v>227</v>
      </c>
      <c r="J10" s="100" t="s">
        <v>227</v>
      </c>
    </row>
    <row r="11" spans="1:10" x14ac:dyDescent="0.25">
      <c r="A11" s="54" t="s">
        <v>36</v>
      </c>
      <c r="B11" s="100">
        <v>43.799814238900005</v>
      </c>
      <c r="C11" s="97">
        <v>26.157553464766668</v>
      </c>
      <c r="D11" s="100">
        <v>37.790707419699999</v>
      </c>
      <c r="E11" s="100">
        <v>17.560473624300002</v>
      </c>
      <c r="F11" s="100">
        <v>23.121479350300003</v>
      </c>
      <c r="G11" s="100" t="s">
        <v>227</v>
      </c>
      <c r="H11" s="100" t="s">
        <v>227</v>
      </c>
      <c r="I11" s="100" t="s">
        <v>227</v>
      </c>
      <c r="J11" s="100" t="s">
        <v>227</v>
      </c>
    </row>
    <row r="12" spans="1:10" s="7" customFormat="1" x14ac:dyDescent="0.25">
      <c r="A12" s="9" t="s">
        <v>37</v>
      </c>
      <c r="B12" s="45">
        <v>0.71240000000000014</v>
      </c>
      <c r="C12" s="97">
        <v>0.7596666666666666</v>
      </c>
      <c r="D12" s="45">
        <v>0.60709999999999997</v>
      </c>
      <c r="E12" s="45">
        <v>1.0668</v>
      </c>
      <c r="F12" s="45">
        <v>0.60509999999999997</v>
      </c>
      <c r="G12" s="45" t="s">
        <v>227</v>
      </c>
      <c r="H12" s="45" t="s">
        <v>227</v>
      </c>
      <c r="I12" s="45" t="s">
        <v>227</v>
      </c>
      <c r="J12" s="45" t="s">
        <v>227</v>
      </c>
    </row>
    <row r="13" spans="1:10" s="7" customFormat="1" x14ac:dyDescent="0.25">
      <c r="A13" s="9" t="s">
        <v>38</v>
      </c>
      <c r="B13" s="45">
        <v>0.25086900000000001</v>
      </c>
      <c r="C13" s="97">
        <v>4.8098666666666658E-2</v>
      </c>
      <c r="D13" s="45">
        <v>0.39391300000000001</v>
      </c>
      <c r="E13" s="45">
        <v>-0.20728200000000002</v>
      </c>
      <c r="F13" s="45">
        <v>-4.2335000000000005E-2</v>
      </c>
      <c r="G13" s="45" t="s">
        <v>227</v>
      </c>
      <c r="H13" s="45" t="s">
        <v>227</v>
      </c>
      <c r="I13" s="45" t="s">
        <v>227</v>
      </c>
      <c r="J13" s="45" t="s">
        <v>227</v>
      </c>
    </row>
    <row r="14" spans="1:10" s="7" customFormat="1" x14ac:dyDescent="0.25">
      <c r="A14" s="9" t="s">
        <v>39</v>
      </c>
      <c r="B14" s="101">
        <v>8.3038382637999995</v>
      </c>
      <c r="C14" s="97">
        <v>0.58698646086666662</v>
      </c>
      <c r="D14" s="101">
        <v>-8.6735462771999998</v>
      </c>
      <c r="E14" s="101">
        <v>7.8458717688999995</v>
      </c>
      <c r="F14" s="101">
        <v>2.5886338909000002</v>
      </c>
      <c r="G14" s="101" t="s">
        <v>227</v>
      </c>
      <c r="H14" s="101" t="s">
        <v>227</v>
      </c>
      <c r="I14" s="101" t="s">
        <v>227</v>
      </c>
      <c r="J14" s="101" t="s">
        <v>227</v>
      </c>
    </row>
    <row r="15" spans="1:10" x14ac:dyDescent="0.25">
      <c r="A15" s="54" t="s">
        <v>41</v>
      </c>
      <c r="B15" s="44">
        <v>2.8081000000000002E-2</v>
      </c>
      <c r="C15" s="97">
        <v>-5.8383333333333334E-3</v>
      </c>
      <c r="D15" s="44">
        <v>-4.2729999999999997E-2</v>
      </c>
      <c r="E15" s="44">
        <v>2.3782999999999999E-2</v>
      </c>
      <c r="F15" s="44">
        <v>1.4319999999999999E-3</v>
      </c>
      <c r="G15" s="44" t="s">
        <v>227</v>
      </c>
      <c r="H15" s="44" t="s">
        <v>227</v>
      </c>
      <c r="I15" s="44" t="s">
        <v>227</v>
      </c>
      <c r="J15" s="44" t="s">
        <v>227</v>
      </c>
    </row>
    <row r="16" spans="1:10" s="7" customFormat="1" ht="25.8" customHeight="1" x14ac:dyDescent="0.25">
      <c r="A16" s="9" t="s">
        <v>42</v>
      </c>
      <c r="B16" s="101">
        <v>-86.95206057610001</v>
      </c>
      <c r="C16" s="97">
        <v>4.7229385637666654</v>
      </c>
      <c r="D16" s="101">
        <v>8.5726873089999991</v>
      </c>
      <c r="E16" s="101">
        <v>19.0394799386</v>
      </c>
      <c r="F16" s="101">
        <v>-13.443351556300001</v>
      </c>
      <c r="G16" s="101" t="s">
        <v>227</v>
      </c>
      <c r="H16" s="101" t="s">
        <v>227</v>
      </c>
      <c r="I16" s="101" t="s">
        <v>227</v>
      </c>
      <c r="J16" s="101" t="s">
        <v>227</v>
      </c>
    </row>
    <row r="17" spans="1:10" x14ac:dyDescent="0.25">
      <c r="A17" s="54" t="s">
        <v>56</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180</v>
      </c>
      <c r="B1" s="121"/>
      <c r="C1" s="121"/>
      <c r="D1" s="121"/>
      <c r="E1" s="121"/>
      <c r="F1" s="121"/>
    </row>
    <row r="2" spans="1:6" x14ac:dyDescent="0.25">
      <c r="A2" s="51" t="s">
        <v>181</v>
      </c>
      <c r="B2" s="50" t="s">
        <v>182</v>
      </c>
      <c r="C2" s="50" t="s">
        <v>183</v>
      </c>
      <c r="D2" s="50" t="s">
        <v>184</v>
      </c>
      <c r="E2" s="50" t="s">
        <v>154</v>
      </c>
      <c r="F2" s="50" t="s">
        <v>185</v>
      </c>
    </row>
    <row r="3" spans="1:6" ht="48" customHeight="1" x14ac:dyDescent="0.25">
      <c r="A3" s="103">
        <v>43278</v>
      </c>
      <c r="B3" s="52" t="s">
        <v>186</v>
      </c>
      <c r="C3" s="104"/>
      <c r="D3" s="104" t="s">
        <v>187</v>
      </c>
      <c r="E3" s="52" t="s">
        <v>188</v>
      </c>
      <c r="F3" s="104" t="s">
        <v>189</v>
      </c>
    </row>
    <row r="4" spans="1:6" ht="49.5" customHeight="1" x14ac:dyDescent="0.25">
      <c r="A4" s="103">
        <v>43277</v>
      </c>
      <c r="B4" s="52" t="s">
        <v>190</v>
      </c>
      <c r="C4" s="104" t="s">
        <v>191</v>
      </c>
      <c r="D4" s="104"/>
      <c r="E4" s="52" t="s">
        <v>157</v>
      </c>
      <c r="F4" s="104" t="s">
        <v>192</v>
      </c>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20" spans="1:6" x14ac:dyDescent="0.25">
      <c r="A20" s="140" t="s">
        <v>193</v>
      </c>
      <c r="B20" s="140"/>
      <c r="C20" s="140"/>
      <c r="D20" s="140"/>
      <c r="E20" s="140"/>
      <c r="F20" s="140"/>
    </row>
    <row r="21" spans="1:6" x14ac:dyDescent="0.25">
      <c r="A21" s="83" t="s">
        <v>181</v>
      </c>
      <c r="B21" s="83" t="s">
        <v>182</v>
      </c>
      <c r="C21" s="83" t="s">
        <v>194</v>
      </c>
      <c r="D21" s="83" t="s">
        <v>195</v>
      </c>
      <c r="E21" s="83" t="s">
        <v>154</v>
      </c>
      <c r="F21" s="83" t="s">
        <v>185</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196</v>
      </c>
      <c r="B1" s="121"/>
      <c r="C1" s="121"/>
      <c r="D1" s="121"/>
      <c r="E1" s="121"/>
      <c r="F1" s="121"/>
      <c r="G1" s="121"/>
      <c r="H1" s="121"/>
      <c r="I1" s="121"/>
      <c r="J1" s="121"/>
      <c r="K1" s="121"/>
      <c r="L1" s="121"/>
      <c r="M1" s="121"/>
      <c r="N1" s="121"/>
    </row>
    <row r="2" spans="1:18" s="1" customFormat="1" ht="25.5" customHeight="1" x14ac:dyDescent="0.25">
      <c r="A2" s="55" t="s">
        <v>197</v>
      </c>
      <c r="B2" s="55" t="s">
        <v>198</v>
      </c>
      <c r="C2" s="55" t="s">
        <v>199</v>
      </c>
      <c r="D2" s="55" t="s">
        <v>200</v>
      </c>
      <c r="E2" s="55" t="s">
        <v>201</v>
      </c>
      <c r="F2" s="55" t="s">
        <v>202</v>
      </c>
      <c r="G2" s="55" t="s">
        <v>203</v>
      </c>
      <c r="H2" s="55" t="s">
        <v>16</v>
      </c>
      <c r="I2" s="55" t="s">
        <v>204</v>
      </c>
      <c r="J2" s="55" t="s">
        <v>205</v>
      </c>
      <c r="K2" s="55" t="s">
        <v>206</v>
      </c>
      <c r="L2" s="55" t="s">
        <v>207</v>
      </c>
      <c r="M2" s="55" t="s">
        <v>19</v>
      </c>
      <c r="N2" s="55" t="s">
        <v>208</v>
      </c>
      <c r="O2" s="3"/>
      <c r="P2" s="107" t="str">
        <f ca="1">Q2</f>
        <v>2019-04-12</v>
      </c>
      <c r="Q2" s="1" t="str">
        <f ca="1">[1]!td(R2-1)</f>
        <v>2019-04-12</v>
      </c>
      <c r="R2" s="3">
        <f ca="1">TODAY()</f>
        <v>43570</v>
      </c>
    </row>
    <row r="3" spans="1:18" ht="15.75" customHeight="1" x14ac:dyDescent="0.25">
      <c r="A3" s="108" t="str">
        <f>[1]!b_info_name(L3)</f>
        <v>19哈尔滨投MTN001</v>
      </c>
      <c r="B3" s="2" t="str">
        <f>[1]!b_issue_firstissue(L3)</f>
        <v>2019-04-16</v>
      </c>
      <c r="C3" s="108">
        <f>[1]!b_info_term(L3)</f>
        <v>3</v>
      </c>
      <c r="D3" s="109" t="str">
        <f>[1]!issuerrating(L3)</f>
        <v>AA+</v>
      </c>
      <c r="E3" s="109" t="str">
        <f>[1]!b_info_creditrating(L3)</f>
        <v>AA+</v>
      </c>
      <c r="F3" s="108" t="str">
        <f>[1]!b_rate_creditratingagency(L3)</f>
        <v>联合资信评估有限公司</v>
      </c>
      <c r="G3" s="110">
        <f>[1]!b_agency_guarantor(L3)</f>
        <v>0</v>
      </c>
      <c r="H3" s="111" t="s">
        <v>209</v>
      </c>
      <c r="I3" s="65"/>
      <c r="J3" s="112" t="s">
        <v>209</v>
      </c>
      <c r="K3" s="113"/>
      <c r="L3" s="41" t="str">
        <f>公式页!A2</f>
        <v>q19041107.IB</v>
      </c>
      <c r="M3" s="111" t="s">
        <v>209</v>
      </c>
      <c r="N3" s="108" t="str">
        <f>[1]!b_agency_leadunderwriter(L3)</f>
        <v>上海浦东发展银行股份有限公司,华夏银行股份有限公司</v>
      </c>
      <c r="P3" s="106" t="str">
        <f t="shared" ref="P3:P29" ca="1" si="0">$P$2</f>
        <v>2019-04-12</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3.6621000000000001</v>
      </c>
      <c r="K4" s="113">
        <f>K3</f>
        <v>0</v>
      </c>
      <c r="L4" s="4" t="s">
        <v>210</v>
      </c>
      <c r="M4" s="111">
        <f>[1]!b_info_issueamount(L4)/100000000</f>
        <v>5</v>
      </c>
      <c r="N4" s="108" t="str">
        <f>[1]!b_agency_leadunderwriter(L4)</f>
        <v>上海浦东发展银行股份有限公司,中国国际金融股份有限公司</v>
      </c>
      <c r="P4" s="106" t="str">
        <f t="shared" ca="1" si="0"/>
        <v>2019-04-12</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2019-04-12</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2019-04-12</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2019-04-12</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2019-04-12</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2019-04-12</v>
      </c>
    </row>
    <row r="10" spans="1:18" x14ac:dyDescent="0.25">
      <c r="P10" s="106" t="str">
        <f t="shared" ca="1" si="0"/>
        <v>2019-04-12</v>
      </c>
    </row>
    <row r="11" spans="1:18" x14ac:dyDescent="0.25">
      <c r="P11" s="106" t="str">
        <f t="shared" ca="1" si="0"/>
        <v>2019-04-12</v>
      </c>
    </row>
    <row r="12" spans="1:18" x14ac:dyDescent="0.25">
      <c r="A12" s="147" t="s">
        <v>211</v>
      </c>
      <c r="B12" s="121"/>
      <c r="C12" s="121"/>
      <c r="D12" s="121"/>
      <c r="E12" s="121"/>
      <c r="F12" s="121"/>
      <c r="G12" s="121"/>
      <c r="H12" s="121"/>
      <c r="I12" s="121"/>
      <c r="J12" s="121"/>
      <c r="K12" s="121"/>
      <c r="L12" s="121"/>
      <c r="M12" s="121"/>
      <c r="N12" s="121"/>
      <c r="P12" s="106" t="str">
        <f t="shared" ca="1" si="0"/>
        <v>2019-04-12</v>
      </c>
    </row>
    <row r="13" spans="1:18" s="1" customFormat="1" ht="43.2" customHeight="1" x14ac:dyDescent="0.25">
      <c r="A13" s="55" t="s">
        <v>197</v>
      </c>
      <c r="B13" s="55" t="s">
        <v>198</v>
      </c>
      <c r="C13" s="55" t="s">
        <v>199</v>
      </c>
      <c r="D13" s="55" t="s">
        <v>200</v>
      </c>
      <c r="E13" s="55" t="s">
        <v>201</v>
      </c>
      <c r="F13" s="55" t="s">
        <v>202</v>
      </c>
      <c r="G13" s="55" t="s">
        <v>203</v>
      </c>
      <c r="H13" s="55" t="s">
        <v>16</v>
      </c>
      <c r="I13" s="55" t="s">
        <v>204</v>
      </c>
      <c r="J13" s="55" t="s">
        <v>205</v>
      </c>
      <c r="K13" s="55" t="s">
        <v>206</v>
      </c>
      <c r="L13" s="55" t="s">
        <v>207</v>
      </c>
      <c r="M13" s="55" t="s">
        <v>19</v>
      </c>
      <c r="N13" s="55" t="s">
        <v>208</v>
      </c>
      <c r="P13" s="106" t="str">
        <f t="shared" ca="1" si="0"/>
        <v>2019-04-12</v>
      </c>
    </row>
    <row r="14" spans="1:18" ht="15.75" customHeight="1" x14ac:dyDescent="0.25">
      <c r="A14" s="108" t="str">
        <f>[1]!b_info_name(L14)</f>
        <v>19哈尔滨投MTN001</v>
      </c>
      <c r="B14" s="2" t="str">
        <f>[1]!b_issue_firstissue(L14)</f>
        <v>2019-04-16</v>
      </c>
      <c r="C14" s="108">
        <f>[1]!b_info_term(L14)</f>
        <v>3</v>
      </c>
      <c r="D14" s="109" t="str">
        <f>[1]!issuerrating(L14)</f>
        <v>AA+</v>
      </c>
      <c r="E14" s="109" t="str">
        <f>[1]!b_info_creditrating(L14)</f>
        <v>AA+</v>
      </c>
      <c r="F14" s="108" t="str">
        <f>[1]!b_rate_creditratingagency(L14)</f>
        <v>联合资信评估有限公司</v>
      </c>
      <c r="G14" s="110">
        <f>[1]!b_agency_guarantor(L14)</f>
        <v>0</v>
      </c>
      <c r="H14" s="111" t="s">
        <v>209</v>
      </c>
      <c r="I14" s="65"/>
      <c r="J14" s="112" t="s">
        <v>209</v>
      </c>
      <c r="K14" s="113">
        <f>K3</f>
        <v>0</v>
      </c>
      <c r="L14" s="42" t="str">
        <f>L3</f>
        <v>q19041107.IB</v>
      </c>
      <c r="M14" s="111" t="s">
        <v>209</v>
      </c>
      <c r="N14" s="108" t="str">
        <f>[1]!b_agency_leadunderwriter(L14)</f>
        <v>上海浦东发展银行股份有限公司,华夏银行股份有限公司</v>
      </c>
      <c r="P14" s="106" t="str">
        <f t="shared" ca="1" si="0"/>
        <v>2019-04-12</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212</v>
      </c>
      <c r="M15" s="111">
        <f>[1]!b_info_issueamount(L15)/100000000</f>
        <v>5</v>
      </c>
      <c r="N15" s="108" t="str">
        <f>[1]!b_agency_leadunderwriter(L15)</f>
        <v>招商银行股份有限公司</v>
      </c>
      <c r="O15" t="str">
        <f>[1]!b_issuer_windindustry(L15,4)</f>
        <v>西药</v>
      </c>
      <c r="P15" s="106" t="str">
        <f t="shared" ca="1" si="0"/>
        <v>2019-04-12</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213</v>
      </c>
      <c r="M16" s="111">
        <f>[1]!b_info_issueamount(L16)/100000000</f>
        <v>6</v>
      </c>
      <c r="N16" s="108" t="str">
        <f>[1]!b_agency_leadunderwriter(L16)</f>
        <v>北京银行股份有限公司</v>
      </c>
      <c r="O16" t="str">
        <f>[1]!b_issuer_windindustry(L16,4)</f>
        <v>化肥与农用化工</v>
      </c>
      <c r="P16" s="106" t="str">
        <f t="shared" ca="1" si="0"/>
        <v>2019-04-12</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214</v>
      </c>
      <c r="M17" s="111">
        <f>[1]!b_info_issueamount(L17)/100000000</f>
        <v>3.5</v>
      </c>
      <c r="N17" s="108" t="str">
        <f>[1]!b_agency_leadunderwriter(L17)</f>
        <v>华夏银行股份有限公司</v>
      </c>
      <c r="O17" t="str">
        <f>[1]!b_issuer_windindustry(L17,4)</f>
        <v>食品加工与肉类</v>
      </c>
      <c r="P17" s="106" t="str">
        <f t="shared" ca="1" si="0"/>
        <v>2019-04-12</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215</v>
      </c>
      <c r="M18" s="111">
        <f>[1]!b_info_issueamount(L18)/100000000</f>
        <v>3</v>
      </c>
      <c r="N18" s="108" t="str">
        <f>[1]!b_agency_leadunderwriter(L18)</f>
        <v>兴业银行股份有限公司</v>
      </c>
      <c r="O18" t="str">
        <f>[1]!b_issuer_windindustry(L18,4)</f>
        <v>工业机械</v>
      </c>
      <c r="P18" s="106" t="str">
        <f t="shared" ca="1" si="0"/>
        <v>2019-04-12</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216</v>
      </c>
      <c r="M19" s="111">
        <f>[1]!b_info_issueamount(L19)/100000000</f>
        <v>3</v>
      </c>
      <c r="N19" s="108" t="str">
        <f>[1]!b_agency_leadunderwriter(L19)</f>
        <v>中国银行股份有限公司</v>
      </c>
      <c r="O19" t="str">
        <f>[1]!b_issuer_windindustry(L19,4)</f>
        <v>半导体产品</v>
      </c>
      <c r="P19" s="106" t="str">
        <f t="shared" ca="1" si="0"/>
        <v>2019-04-12</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217</v>
      </c>
      <c r="M20" s="111">
        <f>[1]!b_info_issueamount(L20)/100000000</f>
        <v>5</v>
      </c>
      <c r="N20" s="108" t="str">
        <f>[1]!b_agency_leadunderwriter(L20)</f>
        <v>中国银行股份有限公司</v>
      </c>
      <c r="O20" t="str">
        <f>[1]!b_issuer_windindustry(L20,4)</f>
        <v>医疗保健用品</v>
      </c>
      <c r="P20" s="106" t="str">
        <f t="shared" ca="1" si="0"/>
        <v>2019-04-12</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218</v>
      </c>
      <c r="M21" s="111">
        <f>[1]!b_info_issueamount(L21)/100000000</f>
        <v>2</v>
      </c>
      <c r="N21" s="108" t="str">
        <f>[1]!b_agency_leadunderwriter(L21)</f>
        <v>中国银行股份有限公司</v>
      </c>
      <c r="O21" t="str">
        <f>[1]!b_issuer_windindustry(L21,4)</f>
        <v>食品加工与肉类</v>
      </c>
      <c r="P21" s="106" t="str">
        <f t="shared" ca="1" si="0"/>
        <v>2019-04-12</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219</v>
      </c>
      <c r="M22" s="111">
        <f>[1]!b_info_issueamount(L22)/100000000</f>
        <v>4</v>
      </c>
      <c r="N22" s="108" t="str">
        <f>[1]!b_agency_leadunderwriter(L22)</f>
        <v>中国工商银行股份有限公司</v>
      </c>
      <c r="O22" t="str">
        <f>[1]!b_issuer_windindustry(L22,4)</f>
        <v>酒店、度假村与豪华游轮</v>
      </c>
      <c r="P22" s="106" t="str">
        <f t="shared" ca="1" si="0"/>
        <v>2019-04-12</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220</v>
      </c>
      <c r="M23" s="111">
        <f>[1]!b_info_issueamount(L23)/100000000</f>
        <v>4</v>
      </c>
      <c r="N23" s="108" t="str">
        <f>[1]!b_agency_leadunderwriter(L23)</f>
        <v>中国银行股份有限公司</v>
      </c>
      <c r="O23" t="str">
        <f>[1]!b_issuer_windindustry(L23,4)</f>
        <v>金属非金属</v>
      </c>
      <c r="P23" s="106" t="str">
        <f t="shared" ca="1" si="0"/>
        <v>2019-04-12</v>
      </c>
    </row>
    <row r="24" spans="1:16" x14ac:dyDescent="0.25">
      <c r="P24" s="106" t="str">
        <f t="shared" ca="1" si="0"/>
        <v>2019-04-12</v>
      </c>
    </row>
    <row r="25" spans="1:16" x14ac:dyDescent="0.25">
      <c r="P25" s="106" t="str">
        <f t="shared" ca="1" si="0"/>
        <v>2019-04-12</v>
      </c>
    </row>
    <row r="26" spans="1:16" x14ac:dyDescent="0.25">
      <c r="P26" s="106" t="str">
        <f t="shared" ca="1" si="0"/>
        <v>2019-04-12</v>
      </c>
    </row>
    <row r="27" spans="1:16" x14ac:dyDescent="0.25">
      <c r="P27" s="106" t="str">
        <f t="shared" ca="1" si="0"/>
        <v>2019-04-12</v>
      </c>
    </row>
    <row r="28" spans="1:16" x14ac:dyDescent="0.25">
      <c r="P28" s="106" t="str">
        <f t="shared" ca="1" si="0"/>
        <v>2019-04-12</v>
      </c>
    </row>
    <row r="29" spans="1:16" x14ac:dyDescent="0.25">
      <c r="P29" s="106"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2019-04-15T08:58:06Z</dcterms:modified>
</cp:coreProperties>
</file>