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6新券信评\"/>
    </mc:Choice>
  </mc:AlternateContent>
  <xr:revisionPtr revIDLastSave="0" documentId="13_ncr:1_{82E5F70A-DF00-4336-BC74-418EAB543A57}"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O23" i="6"/>
  <c r="H23" i="6"/>
  <c r="D23" i="6"/>
  <c r="E22" i="6"/>
  <c r="A22" i="6"/>
  <c r="M21" i="6"/>
  <c r="F21" i="6"/>
  <c r="B21" i="6"/>
  <c r="N20" i="6"/>
  <c r="G20" i="6"/>
  <c r="C20" i="6"/>
  <c r="O19" i="6"/>
  <c r="H19" i="6"/>
  <c r="D19" i="6"/>
  <c r="E18" i="6"/>
  <c r="A18" i="6"/>
  <c r="M17" i="6"/>
  <c r="F17" i="6"/>
  <c r="B17" i="6"/>
  <c r="N16" i="6"/>
  <c r="G16" i="6"/>
  <c r="C16" i="6"/>
  <c r="O15" i="6"/>
  <c r="H15" i="6"/>
  <c r="D15" i="6"/>
  <c r="G14" i="6"/>
  <c r="C14" i="6"/>
  <c r="N9" i="6"/>
  <c r="H9" i="6"/>
  <c r="D9" i="6"/>
  <c r="E8" i="6"/>
  <c r="A8" i="6"/>
  <c r="F7" i="6"/>
  <c r="B7" i="6"/>
  <c r="M6" i="6"/>
  <c r="G6" i="6"/>
  <c r="C6" i="6"/>
  <c r="N5" i="6"/>
  <c r="H5" i="6"/>
  <c r="D5" i="6"/>
  <c r="E4" i="6"/>
  <c r="A4" i="6"/>
  <c r="G3" i="6"/>
  <c r="C3" i="6"/>
  <c r="A23" i="6"/>
  <c r="N21" i="6"/>
  <c r="H20" i="6"/>
  <c r="E19" i="6"/>
  <c r="B18" i="6"/>
  <c r="O16" i="6"/>
  <c r="D14" i="6"/>
  <c r="F8" i="6"/>
  <c r="G7" i="6"/>
  <c r="H6" i="6"/>
  <c r="F4" i="6"/>
  <c r="Q2" i="6"/>
  <c r="M141" i="1"/>
  <c r="M139" i="1"/>
  <c r="M137" i="1"/>
  <c r="O135" i="1"/>
  <c r="M134" i="1"/>
  <c r="S132" i="1"/>
  <c r="O131" i="1"/>
  <c r="E23" i="6"/>
  <c r="B22" i="6"/>
  <c r="O20" i="6"/>
  <c r="F18" i="6"/>
  <c r="C17" i="6"/>
  <c r="D3" i="6"/>
  <c r="S141" i="1"/>
  <c r="S139" i="1"/>
  <c r="S137" i="1"/>
  <c r="S135" i="1"/>
  <c r="O134" i="1"/>
  <c r="M133" i="1"/>
  <c r="S131" i="1"/>
  <c r="M129" i="1"/>
  <c r="O128" i="1"/>
  <c r="S127" i="1"/>
  <c r="M121" i="1"/>
  <c r="M120" i="1"/>
  <c r="M119" i="1"/>
  <c r="M118" i="1"/>
  <c r="M117" i="1"/>
  <c r="M116" i="1"/>
  <c r="F112" i="1"/>
  <c r="M111" i="1"/>
  <c r="F110" i="1"/>
  <c r="M109" i="1"/>
  <c r="Q103" i="1"/>
  <c r="M103" i="1"/>
  <c r="F102" i="1"/>
  <c r="B102" i="1"/>
  <c r="O101" i="1"/>
  <c r="J101" i="1"/>
  <c r="D101" i="1"/>
  <c r="Q100" i="1"/>
  <c r="M100" i="1"/>
  <c r="F100" i="1"/>
  <c r="B100" i="1"/>
  <c r="O99" i="1"/>
  <c r="J99" i="1"/>
  <c r="D99" i="1"/>
  <c r="Q98" i="1"/>
  <c r="M98" i="1"/>
  <c r="F98" i="1"/>
  <c r="B98" i="1"/>
  <c r="O97" i="1"/>
  <c r="J97" i="1"/>
  <c r="D97" i="1"/>
  <c r="Q96" i="1"/>
  <c r="M96" i="1"/>
  <c r="F96" i="1"/>
  <c r="B96" i="1"/>
  <c r="D95" i="1"/>
  <c r="F94" i="1"/>
  <c r="B94" i="1"/>
  <c r="D93" i="1"/>
  <c r="F92" i="1"/>
  <c r="B92" i="1"/>
  <c r="D91" i="1"/>
  <c r="F90" i="1"/>
  <c r="B90" i="1"/>
  <c r="D89" i="1"/>
  <c r="F88" i="1"/>
  <c r="B88" i="1"/>
  <c r="D87" i="1"/>
  <c r="F86" i="1"/>
  <c r="B86" i="1"/>
  <c r="D85" i="1"/>
  <c r="F84" i="1"/>
  <c r="B84" i="1"/>
  <c r="G21" i="6"/>
  <c r="A19" i="6"/>
  <c r="H16" i="6"/>
  <c r="E9" i="6"/>
  <c r="M7" i="6"/>
  <c r="E5" i="6"/>
  <c r="M140" i="1"/>
  <c r="M136" i="1"/>
  <c r="O133" i="1"/>
  <c r="S112" i="1"/>
  <c r="S111" i="1"/>
  <c r="S110" i="1"/>
  <c r="D109" i="1"/>
  <c r="P103" i="1"/>
  <c r="J103" i="1"/>
  <c r="C102" i="1"/>
  <c r="N101" i="1"/>
  <c r="F101" i="1"/>
  <c r="R100" i="1"/>
  <c r="L100" i="1"/>
  <c r="D100" i="1"/>
  <c r="P99" i="1"/>
  <c r="G99" i="1"/>
  <c r="B99" i="1"/>
  <c r="N98" i="1"/>
  <c r="E98" i="1"/>
  <c r="Q97" i="1"/>
  <c r="L97" i="1"/>
  <c r="C97" i="1"/>
  <c r="O96" i="1"/>
  <c r="G96" i="1"/>
  <c r="G95" i="1"/>
  <c r="B95" i="1"/>
  <c r="C94" i="1"/>
  <c r="C93" i="1"/>
  <c r="D92" i="1"/>
  <c r="E91" i="1"/>
  <c r="E90" i="1"/>
  <c r="F89" i="1"/>
  <c r="G88" i="1"/>
  <c r="G87" i="1"/>
  <c r="B87" i="1"/>
  <c r="C86" i="1"/>
  <c r="C85" i="1"/>
  <c r="D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43" i="1"/>
  <c r="G42" i="1"/>
  <c r="C42" i="1"/>
  <c r="E41" i="1"/>
  <c r="G40" i="1"/>
  <c r="C40" i="1"/>
  <c r="E39" i="1"/>
  <c r="G38" i="1"/>
  <c r="C38" i="1"/>
  <c r="E37" i="1"/>
  <c r="G36" i="1"/>
  <c r="C36" i="1"/>
  <c r="E35" i="1"/>
  <c r="G34" i="1"/>
  <c r="C34" i="1"/>
  <c r="E33" i="1"/>
  <c r="G32" i="1"/>
  <c r="C21" i="6"/>
  <c r="M18" i="6"/>
  <c r="D16" i="6"/>
  <c r="A9" i="6"/>
  <c r="D6" i="6"/>
  <c r="A5" i="6"/>
  <c r="S138" i="1"/>
  <c r="M135" i="1"/>
  <c r="O132" i="1"/>
  <c r="S130" i="1"/>
  <c r="S129" i="1"/>
  <c r="S128" i="1"/>
  <c r="O127" i="1"/>
  <c r="M110" i="1"/>
  <c r="S109" i="1"/>
  <c r="O103" i="1"/>
  <c r="G102" i="1"/>
  <c r="R101" i="1"/>
  <c r="M101" i="1"/>
  <c r="E101" i="1"/>
  <c r="P100" i="1"/>
  <c r="J100" i="1"/>
  <c r="C100" i="1"/>
  <c r="N99" i="1"/>
  <c r="F99" i="1"/>
  <c r="R98" i="1"/>
  <c r="L98" i="1"/>
  <c r="D98" i="1"/>
  <c r="P97" i="1"/>
  <c r="G97" i="1"/>
  <c r="B97" i="1"/>
  <c r="N96" i="1"/>
  <c r="E96" i="1"/>
  <c r="F95" i="1"/>
  <c r="G94" i="1"/>
  <c r="G93" i="1"/>
  <c r="B93" i="1"/>
  <c r="C92" i="1"/>
  <c r="C91" i="1"/>
  <c r="D90" i="1"/>
  <c r="E89" i="1"/>
  <c r="E88" i="1"/>
  <c r="F87" i="1"/>
  <c r="G86" i="1"/>
  <c r="G85" i="1"/>
  <c r="B85" i="1"/>
  <c r="C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F22" i="6"/>
  <c r="G17" i="6"/>
  <c r="A15" i="6"/>
  <c r="B8" i="6"/>
  <c r="N6" i="6"/>
  <c r="B4" i="6"/>
  <c r="S140" i="1"/>
  <c r="S136" i="1"/>
  <c r="S133" i="1"/>
  <c r="M131" i="1"/>
  <c r="M130" i="1"/>
  <c r="F113" i="1"/>
  <c r="D111" i="1"/>
  <c r="D110" i="1"/>
  <c r="F109" i="1"/>
  <c r="R103" i="1"/>
  <c r="L103" i="1"/>
  <c r="D102" i="1"/>
  <c r="P101" i="1"/>
  <c r="G101" i="1"/>
  <c r="B101" i="1"/>
  <c r="N100" i="1"/>
  <c r="E100" i="1"/>
  <c r="Q99" i="1"/>
  <c r="L99" i="1"/>
  <c r="C99" i="1"/>
  <c r="O98" i="1"/>
  <c r="G98" i="1"/>
  <c r="R97" i="1"/>
  <c r="M97" i="1"/>
  <c r="E97" i="1"/>
  <c r="P96" i="1"/>
  <c r="J96" i="1"/>
  <c r="C96" i="1"/>
  <c r="C95" i="1"/>
  <c r="D94" i="1"/>
  <c r="E93" i="1"/>
  <c r="E92" i="1"/>
  <c r="F91" i="1"/>
  <c r="G90" i="1"/>
  <c r="G89" i="1"/>
  <c r="B89" i="1"/>
  <c r="C88" i="1"/>
  <c r="C87" i="1"/>
  <c r="D86" i="1"/>
  <c r="E85" i="1"/>
  <c r="E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2" i="6"/>
  <c r="S134" i="1"/>
  <c r="M128" i="1"/>
  <c r="E102" i="1"/>
  <c r="O100" i="1"/>
  <c r="E99" i="1"/>
  <c r="N97" i="1"/>
  <c r="D96" i="1"/>
  <c r="G92" i="1"/>
  <c r="C89" i="1"/>
  <c r="F85" i="1"/>
  <c r="E82" i="1"/>
  <c r="G79" i="1"/>
  <c r="C77" i="1"/>
  <c r="E74" i="1"/>
  <c r="G71" i="1"/>
  <c r="C69" i="1"/>
  <c r="E66" i="1"/>
  <c r="G63" i="1"/>
  <c r="C61" i="1"/>
  <c r="E58" i="1"/>
  <c r="G55" i="1"/>
  <c r="E54" i="1"/>
  <c r="C53" i="1"/>
  <c r="G51" i="1"/>
  <c r="E50" i="1"/>
  <c r="C49" i="1"/>
  <c r="G47" i="1"/>
  <c r="E46" i="1"/>
  <c r="C45" i="1"/>
  <c r="G43" i="1"/>
  <c r="E42" i="1"/>
  <c r="C41" i="1"/>
  <c r="G39" i="1"/>
  <c r="E38" i="1"/>
  <c r="C37" i="1"/>
  <c r="G35" i="1"/>
  <c r="E34" i="1"/>
  <c r="C33" i="1"/>
  <c r="B32" i="1"/>
  <c r="C31" i="1"/>
  <c r="C30" i="1"/>
  <c r="O29" i="1"/>
  <c r="G29" i="1"/>
  <c r="R28" i="1"/>
  <c r="M28" i="1"/>
  <c r="E28" i="1"/>
  <c r="P27" i="1"/>
  <c r="J27" i="1"/>
  <c r="C27" i="1"/>
  <c r="N26" i="1"/>
  <c r="F26" i="1"/>
  <c r="R25" i="1"/>
  <c r="L25" i="1"/>
  <c r="D25" i="1"/>
  <c r="P24" i="1"/>
  <c r="G24" i="1"/>
  <c r="B24" i="1"/>
  <c r="N23" i="1"/>
  <c r="G23" i="1"/>
  <c r="C23" i="1"/>
  <c r="E22" i="1"/>
  <c r="R21" i="1"/>
  <c r="N21" i="1"/>
  <c r="G21" i="1"/>
  <c r="C21" i="1"/>
  <c r="P20" i="1"/>
  <c r="L20" i="1"/>
  <c r="E20" i="1"/>
  <c r="R19" i="1"/>
  <c r="N19" i="1"/>
  <c r="G19" i="1"/>
  <c r="C19" i="1"/>
  <c r="E18" i="1"/>
  <c r="R17" i="1"/>
  <c r="N17" i="1"/>
  <c r="G17" i="1"/>
  <c r="C17" i="1"/>
  <c r="F16" i="1"/>
  <c r="B16" i="1"/>
  <c r="O15" i="1"/>
  <c r="J15" i="1"/>
  <c r="D15" i="1"/>
  <c r="F14" i="1"/>
  <c r="B14" i="1"/>
  <c r="B10" i="1"/>
  <c r="B8" i="1"/>
  <c r="E5" i="1"/>
  <c r="D20" i="6"/>
  <c r="C7" i="6"/>
  <c r="M132" i="1"/>
  <c r="M127" i="1"/>
  <c r="D112" i="1"/>
  <c r="Q101" i="1"/>
  <c r="G100" i="1"/>
  <c r="P98" i="1"/>
  <c r="F97" i="1"/>
  <c r="E95" i="1"/>
  <c r="G91" i="1"/>
  <c r="D88" i="1"/>
  <c r="G84" i="1"/>
  <c r="G81" i="1"/>
  <c r="C79" i="1"/>
  <c r="E76" i="1"/>
  <c r="G73" i="1"/>
  <c r="C71" i="1"/>
  <c r="E68" i="1"/>
  <c r="G65" i="1"/>
  <c r="C63" i="1"/>
  <c r="E60" i="1"/>
  <c r="G57" i="1"/>
  <c r="D55" i="1"/>
  <c r="B54" i="1"/>
  <c r="F52" i="1"/>
  <c r="D51" i="1"/>
  <c r="B50" i="1"/>
  <c r="F48" i="1"/>
  <c r="D47" i="1"/>
  <c r="B46" i="1"/>
  <c r="F44" i="1"/>
  <c r="D43" i="1"/>
  <c r="B42" i="1"/>
  <c r="F40" i="1"/>
  <c r="D39" i="1"/>
  <c r="B38" i="1"/>
  <c r="F36" i="1"/>
  <c r="D35" i="1"/>
  <c r="B34" i="1"/>
  <c r="F32" i="1"/>
  <c r="G31" i="1"/>
  <c r="G30" i="1"/>
  <c r="B30" i="1"/>
  <c r="N29" i="1"/>
  <c r="E29" i="1"/>
  <c r="Q28" i="1"/>
  <c r="L28" i="1"/>
  <c r="C28" i="1"/>
  <c r="O27" i="1"/>
  <c r="G27" i="1"/>
  <c r="R26" i="1"/>
  <c r="M26" i="1"/>
  <c r="E26" i="1"/>
  <c r="P25" i="1"/>
  <c r="J25" i="1"/>
  <c r="C25" i="1"/>
  <c r="N24" i="1"/>
  <c r="F24" i="1"/>
  <c r="R23" i="1"/>
  <c r="M23" i="1"/>
  <c r="F23" i="1"/>
  <c r="B23" i="1"/>
  <c r="D22" i="1"/>
  <c r="Q21" i="1"/>
  <c r="M21" i="1"/>
  <c r="F21" i="1"/>
  <c r="B21" i="1"/>
  <c r="O20" i="1"/>
  <c r="J20" i="1"/>
  <c r="D20" i="1"/>
  <c r="Q19" i="1"/>
  <c r="M19" i="1"/>
  <c r="F19" i="1"/>
  <c r="B19" i="1"/>
  <c r="D18" i="1"/>
  <c r="Q17" i="1"/>
  <c r="M17" i="1"/>
  <c r="F17" i="1"/>
  <c r="E16" i="1"/>
  <c r="G15" i="1"/>
  <c r="F11" i="1"/>
  <c r="F7" i="1"/>
  <c r="N17" i="6"/>
  <c r="F111" i="1"/>
  <c r="L101" i="1"/>
  <c r="R99" i="1"/>
  <c r="R96" i="1"/>
  <c r="E94" i="1"/>
  <c r="E87" i="1"/>
  <c r="C81" i="1"/>
  <c r="G75" i="1"/>
  <c r="C73" i="1"/>
  <c r="G67" i="1"/>
  <c r="E62" i="1"/>
  <c r="C57" i="1"/>
  <c r="G53" i="1"/>
  <c r="C51" i="1"/>
  <c r="G49" i="1"/>
  <c r="C47" i="1"/>
  <c r="G45" i="1"/>
  <c r="C43" i="1"/>
  <c r="G41" i="1"/>
  <c r="C39" i="1"/>
  <c r="E36" i="1"/>
  <c r="G33" i="1"/>
  <c r="E31" i="1"/>
  <c r="R29" i="1"/>
  <c r="D29" i="1"/>
  <c r="P28" i="1"/>
  <c r="B28" i="1"/>
  <c r="E27" i="1"/>
  <c r="Q26" i="1"/>
  <c r="C26" i="1"/>
  <c r="O25" i="1"/>
  <c r="R24" i="1"/>
  <c r="E24" i="1"/>
  <c r="L23" i="1"/>
  <c r="G22" i="1"/>
  <c r="P21" i="1"/>
  <c r="E21" i="1"/>
  <c r="N20" i="1"/>
  <c r="C18" i="1"/>
  <c r="E17" i="1"/>
  <c r="D16" i="1"/>
  <c r="M15" i="1"/>
  <c r="B15" i="1"/>
  <c r="B7" i="1"/>
  <c r="E15" i="6"/>
  <c r="M138" i="1"/>
  <c r="O129" i="1"/>
  <c r="M123" i="1"/>
  <c r="N103" i="1"/>
  <c r="C101" i="1"/>
  <c r="M99" i="1"/>
  <c r="C98" i="1"/>
  <c r="L96" i="1"/>
  <c r="F93" i="1"/>
  <c r="C90" i="1"/>
  <c r="E86" i="1"/>
  <c r="C83" i="1"/>
  <c r="E80" i="1"/>
  <c r="G77" i="1"/>
  <c r="C75" i="1"/>
  <c r="E72" i="1"/>
  <c r="G69" i="1"/>
  <c r="C67" i="1"/>
  <c r="E64" i="1"/>
  <c r="G61" i="1"/>
  <c r="C59" i="1"/>
  <c r="E56" i="1"/>
  <c r="F54" i="1"/>
  <c r="D53" i="1"/>
  <c r="B52" i="1"/>
  <c r="F50" i="1"/>
  <c r="D49" i="1"/>
  <c r="B48" i="1"/>
  <c r="F46" i="1"/>
  <c r="D45" i="1"/>
  <c r="B44" i="1"/>
  <c r="F42" i="1"/>
  <c r="D41" i="1"/>
  <c r="B40" i="1"/>
  <c r="F38" i="1"/>
  <c r="D37" i="1"/>
  <c r="B36" i="1"/>
  <c r="F34" i="1"/>
  <c r="D33" i="1"/>
  <c r="C32" i="1"/>
  <c r="D31" i="1"/>
  <c r="E30" i="1"/>
  <c r="P29" i="1"/>
  <c r="J29" i="1"/>
  <c r="C29" i="1"/>
  <c r="N28" i="1"/>
  <c r="F28" i="1"/>
  <c r="R27" i="1"/>
  <c r="L27" i="1"/>
  <c r="D27" i="1"/>
  <c r="P26" i="1"/>
  <c r="G26" i="1"/>
  <c r="B26" i="1"/>
  <c r="N25" i="1"/>
  <c r="E25" i="1"/>
  <c r="Q24" i="1"/>
  <c r="L24" i="1"/>
  <c r="C24" i="1"/>
  <c r="O23" i="1"/>
  <c r="J23" i="1"/>
  <c r="D23" i="1"/>
  <c r="F22" i="1"/>
  <c r="B22" i="1"/>
  <c r="O21" i="1"/>
  <c r="J21" i="1"/>
  <c r="D21" i="1"/>
  <c r="Q20" i="1"/>
  <c r="M20" i="1"/>
  <c r="F20" i="1"/>
  <c r="B20" i="1"/>
  <c r="O19" i="1"/>
  <c r="J19" i="1"/>
  <c r="D19" i="1"/>
  <c r="F18" i="1"/>
  <c r="B18" i="1"/>
  <c r="O17" i="1"/>
  <c r="J17" i="1"/>
  <c r="D17" i="1"/>
  <c r="G16" i="1"/>
  <c r="C16" i="1"/>
  <c r="P15" i="1"/>
  <c r="L15" i="1"/>
  <c r="E15" i="1"/>
  <c r="G14" i="1"/>
  <c r="C14" i="1"/>
  <c r="F10" i="1"/>
  <c r="F8" i="1"/>
  <c r="B6" i="1"/>
  <c r="B4" i="1"/>
  <c r="B17" i="1"/>
  <c r="R15" i="1"/>
  <c r="N15" i="1"/>
  <c r="C15" i="1"/>
  <c r="E14" i="1"/>
  <c r="F9" i="1"/>
  <c r="B5" i="1"/>
  <c r="O130" i="1"/>
  <c r="J98" i="1"/>
  <c r="B91" i="1"/>
  <c r="G83" i="1"/>
  <c r="E78" i="1"/>
  <c r="E70" i="1"/>
  <c r="C65" i="1"/>
  <c r="G59" i="1"/>
  <c r="C55" i="1"/>
  <c r="E52" i="1"/>
  <c r="E48" i="1"/>
  <c r="E44" i="1"/>
  <c r="E40" i="1"/>
  <c r="G37" i="1"/>
  <c r="C35" i="1"/>
  <c r="E32" i="1"/>
  <c r="F30" i="1"/>
  <c r="L29" i="1"/>
  <c r="G28" i="1"/>
  <c r="N27" i="1"/>
  <c r="L26" i="1"/>
  <c r="G25" i="1"/>
  <c r="M24" i="1"/>
  <c r="P23" i="1"/>
  <c r="E23" i="1"/>
  <c r="C22" i="1"/>
  <c r="L21" i="1"/>
  <c r="R20" i="1"/>
  <c r="G20" i="1"/>
  <c r="C20" i="1"/>
  <c r="P19" i="1"/>
  <c r="L19" i="1"/>
  <c r="E19" i="1"/>
  <c r="G18" i="1"/>
  <c r="P17" i="1"/>
  <c r="L17" i="1"/>
  <c r="J16" i="1"/>
  <c r="Q15" i="1"/>
  <c r="F15" i="1"/>
  <c r="D14" i="1"/>
  <c r="B11" i="1"/>
  <c r="B9" i="1"/>
  <c r="E4" i="1"/>
  <c r="D120" i="1" l="1"/>
  <c r="L22" i="1"/>
  <c r="D119" i="1"/>
  <c r="B128" i="1"/>
  <c r="R22" i="1"/>
  <c r="B117" i="1"/>
  <c r="B122" i="1"/>
  <c r="B118" i="1"/>
  <c r="H124" i="1"/>
  <c r="J22" i="1"/>
  <c r="P22" i="1"/>
  <c r="B120" i="1"/>
  <c r="B121" i="1"/>
  <c r="H123" i="1"/>
  <c r="H126" i="1"/>
  <c r="H130" i="1"/>
  <c r="N22" i="1"/>
  <c r="H109" i="1"/>
  <c r="B110" i="1"/>
  <c r="D117" i="1"/>
  <c r="H118" i="1"/>
  <c r="H119" i="1"/>
  <c r="H120" i="1"/>
  <c r="D122" i="1"/>
  <c r="B125" i="1"/>
  <c r="H128" i="1"/>
  <c r="O22" i="1"/>
  <c r="H110" i="1"/>
  <c r="H111" i="1"/>
  <c r="H112" i="1"/>
  <c r="D123" i="1"/>
  <c r="B126" i="1"/>
  <c r="B130" i="1"/>
  <c r="M22" i="1"/>
  <c r="Q22" i="1"/>
  <c r="B109" i="1"/>
  <c r="B111" i="1"/>
  <c r="B112" i="1"/>
  <c r="H117" i="1"/>
  <c r="D118" i="1"/>
  <c r="B119" i="1"/>
  <c r="H121" i="1"/>
  <c r="B123" i="1"/>
  <c r="D124" i="1"/>
  <c r="H125" i="1"/>
  <c r="H127" i="1"/>
  <c r="H129" i="1"/>
  <c r="H131" i="1"/>
  <c r="D121" i="1"/>
  <c r="H122" i="1"/>
  <c r="B124" i="1"/>
  <c r="D125" i="1"/>
  <c r="B127" i="1"/>
  <c r="B129" i="1"/>
  <c r="B131" i="1"/>
  <c r="P2" i="6"/>
  <c r="J4" i="6"/>
  <c r="P29" i="6" l="1"/>
  <c r="P25" i="6"/>
  <c r="P21" i="6"/>
  <c r="P17" i="6"/>
  <c r="P11" i="6"/>
  <c r="P7" i="6"/>
  <c r="P3" i="6"/>
  <c r="P28" i="6"/>
  <c r="P24" i="6"/>
  <c r="P20" i="6"/>
  <c r="P16" i="6"/>
  <c r="P10" i="6"/>
  <c r="P6" i="6"/>
  <c r="P26" i="6"/>
  <c r="P22" i="6"/>
  <c r="P18" i="6"/>
  <c r="P14" i="6"/>
  <c r="P12" i="6"/>
  <c r="P8" i="6"/>
  <c r="P4" i="6"/>
  <c r="P27" i="6"/>
  <c r="P15" i="6"/>
  <c r="P23" i="6"/>
  <c r="P13" i="6"/>
  <c r="P19" i="6"/>
  <c r="P9" i="6"/>
  <c r="P5" i="6"/>
  <c r="J8" i="6"/>
  <c r="J16" i="6"/>
  <c r="J21" i="6"/>
  <c r="J9" i="6"/>
  <c r="J22" i="6"/>
  <c r="J17" i="6"/>
  <c r="J23" i="6"/>
  <c r="J5" i="6"/>
  <c r="J18" i="6"/>
  <c r="J7" i="6"/>
  <c r="J19" i="6"/>
  <c r="J20" i="6"/>
  <c r="J6" i="6"/>
  <c r="J15" i="6"/>
</calcChain>
</file>

<file path=xl/sharedStrings.xml><?xml version="1.0" encoding="utf-8"?>
<sst xmlns="http://schemas.openxmlformats.org/spreadsheetml/2006/main" count="600" uniqueCount="295">
  <si>
    <t>d19041521.IB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</si>
  <si>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</si>
  <si>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</si>
  <si>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</si>
  <si>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</si>
  <si>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</si>
  <si>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</si>
  <si>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</si>
  <si>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</si>
  <si>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</si>
  <si>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</si>
  <si>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</si>
  <si>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</si>
  <si>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</si>
  <si>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</si>
  <si>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</si>
  <si>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</si>
  <si>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</si>
  <si>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</si>
  <si>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</si>
  <si>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</si>
  <si>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</si>
  <si>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</si>
  <si>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122025.SH</t>
  </si>
  <si>
    <t>主体级别</t>
  </si>
  <si>
    <t>AAA</t>
  </si>
  <si>
    <t>112005.SZ</t>
  </si>
  <si>
    <t>*选择性黏贴</t>
  </si>
  <si>
    <t>101451021.IB</t>
  </si>
  <si>
    <t>数据年度</t>
  </si>
  <si>
    <t>2017年</t>
  </si>
  <si>
    <t>101573001.IB</t>
  </si>
  <si>
    <t>总资产</t>
  </si>
  <si>
    <t>1280151.IB</t>
  </si>
  <si>
    <t>负债率</t>
  </si>
  <si>
    <t>1480067.IB</t>
  </si>
  <si>
    <t>流动比率</t>
  </si>
  <si>
    <t>124221.SH</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</si>
  <si>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</si>
  <si>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</si>
  <si>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</si>
  <si>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</si>
  <si>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</si>
  <si>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</si>
  <si>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</si>
  <si>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</si>
  <si>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</si>
  <si>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</si>
  <si>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</si>
  <si>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</si>
  <si>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</si>
  <si>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</si>
  <si>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</si>
  <si>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</si>
  <si>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</si>
  <si>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</si>
  <si>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</si>
  <si>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</si>
  <si>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</si>
  <si>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</si>
  <si>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</si>
  <si>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</si>
  <si>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</si>
  <si>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</si>
  <si>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</si>
  <si>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</si>
  <si>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</si>
  <si>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</si>
  <si>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</si>
  <si>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</si>
  <si>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</si>
  <si>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</si>
  <si>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</si>
  <si>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</si>
  <si>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</si>
  <si>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</si>
  <si>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</si>
  <si>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</si>
  <si>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</si>
  <si>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</si>
  <si>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</si>
  <si>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</si>
  <si>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</si>
  <si>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</si>
  <si>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</si>
  <si>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</si>
  <si>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</si>
  <si>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</si>
  <si>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</si>
  <si>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</si>
  <si>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</si>
  <si>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</si>
  <si>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</si>
  <si>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</si>
  <si>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</si>
  <si>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</si>
  <si>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</si>
  <si>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</si>
  <si>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</si>
  <si>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</si>
  <si>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</si>
  <si>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</si>
  <si>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</si>
  <si>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</si>
  <si>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</si>
  <si>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</si>
  <si>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</si>
  <si>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</si>
  <si>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</si>
  <si>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</si>
  <si>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</si>
  <si>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</si>
  <si>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</si>
  <si>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</si>
  <si>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</si>
  <si>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</si>
  <si>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</si>
  <si>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</si>
  <si>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</si>
  <si>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</si>
  <si>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</si>
  <si>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011900161.IB</t>
  </si>
  <si>
    <t>20190116</t>
  </si>
  <si>
    <t>19招商蛇口SCP001</t>
  </si>
  <si>
    <t>101801180.IB</t>
  </si>
  <si>
    <t>20181018</t>
  </si>
  <si>
    <t>18招商蛇口MTN001B</t>
  </si>
  <si>
    <t>101801179.IB</t>
  </si>
  <si>
    <t>18招商蛇口MTN001A</t>
  </si>
  <si>
    <t>011801418.IB</t>
  </si>
  <si>
    <t>20180730</t>
  </si>
  <si>
    <t>18招商蛇口SCP002</t>
  </si>
  <si>
    <t>011801394.IB</t>
  </si>
  <si>
    <t>20180725</t>
  </si>
  <si>
    <t>18招商蛇口SCP001</t>
  </si>
  <si>
    <t>112715.SZ</t>
  </si>
  <si>
    <t>20180607</t>
  </si>
  <si>
    <t>18蛇口03</t>
  </si>
  <si>
    <t>112718.SZ</t>
  </si>
  <si>
    <t>18蛇口04</t>
  </si>
  <si>
    <t>112678.SZ</t>
  </si>
  <si>
    <t>20180413</t>
  </si>
  <si>
    <t>18蛇口01</t>
  </si>
  <si>
    <t>112679.SZ</t>
  </si>
  <si>
    <t>18蛇口02</t>
  </si>
  <si>
    <t>112613.SZ</t>
  </si>
  <si>
    <t>20171116</t>
  </si>
  <si>
    <t>17蛇口01</t>
  </si>
  <si>
    <t>112614.SZ</t>
  </si>
  <si>
    <t>17蛇口02</t>
  </si>
  <si>
    <t>101780008.IB</t>
  </si>
  <si>
    <t>20170817</t>
  </si>
  <si>
    <t>17招商蛇口MTN002</t>
  </si>
  <si>
    <t>031780001.IB</t>
  </si>
  <si>
    <t>20170309</t>
  </si>
  <si>
    <t>17招商蛇口MTN001</t>
  </si>
  <si>
    <t>116146.SZ</t>
  </si>
  <si>
    <t>20151229</t>
  </si>
  <si>
    <t>招商创业</t>
  </si>
  <si>
    <t>101573011.IB</t>
  </si>
  <si>
    <t>20150709</t>
  </si>
  <si>
    <t>15招商地产MTN002</t>
  </si>
  <si>
    <t>20150204</t>
  </si>
  <si>
    <t>15招商地产MTN001</t>
  </si>
  <si>
    <t>历史主体评级</t>
  </si>
  <si>
    <t>发布日期</t>
  </si>
  <si>
    <t>主体资信级别</t>
  </si>
  <si>
    <t>评级展望</t>
  </si>
  <si>
    <t>评级机构</t>
  </si>
  <si>
    <t>20180824</t>
  </si>
  <si>
    <t>稳定</t>
  </si>
  <si>
    <t>中诚信国际信用评级有限责任公司</t>
  </si>
  <si>
    <t>20180626</t>
  </si>
  <si>
    <t>20180524</t>
  </si>
  <si>
    <t>中诚信证券评估有限公司</t>
  </si>
  <si>
    <t>20180329</t>
  </si>
  <si>
    <t>20171026</t>
  </si>
  <si>
    <t>20170811</t>
  </si>
  <si>
    <t>20170619</t>
  </si>
  <si>
    <t>20170103</t>
  </si>
  <si>
    <t>20160628</t>
  </si>
  <si>
    <t>20151231</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</si>
  <si>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</si>
  <si>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</si>
  <si>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</si>
  <si>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</si>
  <si>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</si>
  <si>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</si>
  <si>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</si>
  <si>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</si>
  <si>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</si>
  <si>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</si>
  <si>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中粮地产(集团)股份有限公司</t>
  </si>
  <si>
    <t>AA+稳定上调至AAA稳定</t>
  </si>
  <si>
    <t>中证鹏元资信评估股份有限公司</t>
  </si>
  <si>
    <t>公司发行股份收购大悦城地产并募集配套资金，该重大资产重组为公司主营业务注入优质的商业地产元素，整合完成后，中粮地产成为中粮集团有限公司旗下房地产业务板块的唯一平台。大悦城品牌具有显著的区域及品牌优势，其稳定增长的租金收入将持续为公司提供较大规模的现金流入和收入贡献。</t>
  </si>
  <si>
    <t>中华企业股份有限公司</t>
  </si>
  <si>
    <t>AA稳定上调至AA+稳定</t>
  </si>
  <si>
    <t>公司完成对中星集团订购，并引入华润置地、平安不动产作为战略投资者。这解决了公司与中星集团同业竞争问题，有助于补充公司的项目储备，增强公司布局力度及竞争力，公司的资产和自有资本实力均较重组前大幅提升。同时，公司印记华润置地的产品和管理体系及骨干团队，有助于进一步提升公司市场化房地产开发业务的执行效率，加速公司市场化转型进程，有助于提高公司的综合实力。</t>
  </si>
  <si>
    <t>鲁能集团有限公司</t>
  </si>
  <si>
    <t>公司坚持区域聚焦，深耕已布局城市，项目主要分布于国内一二线城市，在建未售面积中一二线的面积占比70%，且土地成本合理，为公司未来发展奠定了良好基础。财务刚刚在行业内处于较低水平，且货币资金占总债务比较50%以上。此外，公司股东背景强，融资优势明显，融资成本低，融资渠道畅通。</t>
  </si>
  <si>
    <t>绿地控股集团有限公司</t>
  </si>
  <si>
    <t>Ba1负面上调至Ba1稳定</t>
  </si>
  <si>
    <t>穆迪公司</t>
  </si>
  <si>
    <t>华鑫置业(集团)有限公司</t>
  </si>
  <si>
    <t>AA负面上调至AA稳定</t>
  </si>
  <si>
    <t>上海新世纪资信评估投资服务有限公司</t>
  </si>
  <si>
    <t>2017年以来公司在股东背景、负债规模下降等方面取得了积极变化。</t>
  </si>
  <si>
    <t>光明房地产集团股份有限公司</t>
  </si>
  <si>
    <t>公司财务杠杆处于较高水平但近年来略有降低，债务期限结构持续优化，短期刚性债务有所缩减；公司资金回笼情况良好，货币资金较充裕，EBITDA持续增长，债务偿付能力有所提高。公司可获得光明集团持续的融资担保和委托贷款支持，且支持力度加大，融资成本持续降低。总体来看，公司偿债能力较有保障，整体信用质量有所提升。</t>
  </si>
  <si>
    <t>光大嘉宝股份有限公司公司</t>
  </si>
  <si>
    <t>联合信用评级有限公司</t>
  </si>
  <si>
    <t>2017年4月，公司实际控制人变更为光大集团，股东实力雄厚，未来公司有望从股东方获得较大支持，随着公司不动产资管规模的持续扩大和不动产资管业务投入力度的进一步加大，公司的盈利结构进一步的优化，经营状况有望保持良好。</t>
  </si>
  <si>
    <t xml:space="preserve"> 鲁能集团有限公司</t>
  </si>
  <si>
    <t>公司为国家电网旗下住宅地产开发业务的运营平台，2017年受益于可供出售货值的增长，公司房地产销售业绩快速提升，同时咋结转项目规模显著提升的带动下，盈利规模大幅增加，得益于销售回款及拿地力度的所见，经营性现金流大幅净流入。</t>
  </si>
  <si>
    <t>金科地产集团股份有限公司</t>
  </si>
  <si>
    <t>2017年，凭借在重庆地区很强的区域竞争优势和品牌知名度，公司持续保持在重庆区域的领先地位，并带动整体签约销售金额的快速上升。同时，2017年公司继续加快土地储备的获取力度，土地储备较为充足且全国区域布局得到优化，同时丰富的已售待结算资源亦可对公司经营业绩提供保障。</t>
  </si>
  <si>
    <t>合生创展集团有限公司</t>
  </si>
  <si>
    <t>中粮置业投资有限公司</t>
  </si>
  <si>
    <t>2017年，中粮置业持续得到股东较大力度的支持，同时凭借所持大悦城购物中心显著的区位优势，其出租率处于较高水平，租金收入稳步上升。此外，公司所运作的销售型房地产项目亦具有较强的区位优势及很高的产品品质，其销售及结算收入为发行人现金流及盈利规模提供了有益的补充。近年来，公司财务结构保持稳健，经营获现能力对债务本息的保障力度持续增强。</t>
  </si>
  <si>
    <t>中冶置业集团有限公司</t>
  </si>
  <si>
    <t>旭辉集团股份有限公司</t>
  </si>
  <si>
    <t>2017 年，在房地产行业政策整体延续分类调控、因城施策的背景下，旭辉
集团股份有限公司继续坚持标准化的运营模式，通过较快的项目周转速度，实现快速去化，销售业绩大幅增长，长三角区域及行业领先地位得到巩固。此外，公司自有资本实力增强，流动性持续充足，加之其项目储备区域布局优势明显，能够为其未来业务发展提供有力保障。</t>
  </si>
  <si>
    <t>近一年来同行业发债企业主体评级下调情况</t>
  </si>
  <si>
    <t>主体资信级别下调</t>
  </si>
  <si>
    <t>主体评级展望下调</t>
  </si>
  <si>
    <t>南京建工产业集团有限公司</t>
  </si>
  <si>
    <t>AA-稳定下调至A负面</t>
  </si>
  <si>
    <t>国购投资有限公司</t>
  </si>
  <si>
    <t>B下调至C</t>
  </si>
  <si>
    <t>公司由于账户被查封、现金流短缺以及筹融资渠道受限等原因， 无法按时偿付“ 16 国购01 ”债券利息及回售本金， 己构成实质违约。</t>
  </si>
  <si>
    <t>宁波银亿控股有限公司</t>
  </si>
  <si>
    <t>A+负面下调至B负面</t>
  </si>
  <si>
    <t>大公国际资信评估有限公司</t>
  </si>
  <si>
    <t>银亿股份有限公司</t>
  </si>
  <si>
    <t>BBB下调至C</t>
  </si>
  <si>
    <t>实质性违约</t>
  </si>
  <si>
    <t>北京华业资本控股股份有限公司</t>
  </si>
  <si>
    <t>AA稳定下调至C</t>
  </si>
  <si>
    <t>实质性违约。</t>
  </si>
  <si>
    <t>上海新黄浦置业股份有限公司</t>
  </si>
  <si>
    <t>AA稳定下调至AA负面</t>
  </si>
  <si>
    <t>参股的中泰信托2017年受到监管警示导致长期股权投资价值受到影响，有息负债规模持续增大，面临集中偿付的压力，实际控制权稳定性极弱。</t>
  </si>
  <si>
    <t>中国高科集团股份有限公司</t>
  </si>
  <si>
    <t>AA稳定下调至AA-稳定</t>
  </si>
  <si>
    <t>上海远东资信评估有限公司</t>
  </si>
  <si>
    <t>中弘控股股份有限公司</t>
  </si>
  <si>
    <t>CCC负面下调至C负面</t>
  </si>
  <si>
    <t>2018年3月19日，中弘卓业、王永红与港桥投资签署《战略重组协议》，以期通过重组获得现金流偿还债务。但由于中弘卓业未能与相关债权人就长债安排及该重组事项达成一致，重组先决条件无法实现，目前三方协商一致统一终止该重组事项。中弘股份自身偿债来源匮乏，战略重组事项终止使其短期内无法获得外部资金支持，偿债能力进一步恶化。</t>
  </si>
  <si>
    <t>泰禾集团股份有限公司</t>
  </si>
  <si>
    <t>B1稳定下调至B2稳定</t>
  </si>
  <si>
    <t>预计未来12-18个月泰禾集团去杠杆的速度将慢于预期，而公司到期的境内影子银行贷款及可回售境内债券造成的再融资压力有所增加。</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</si>
  <si>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</si>
  <si>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</si>
  <si>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</si>
  <si>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</si>
  <si>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</si>
  <si>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</si>
  <si>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</si>
  <si>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</si>
  <si>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</si>
  <si>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</si>
  <si>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</si>
  <si>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</si>
  <si>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</si>
  <si>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</si>
  <si>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</si>
  <si>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</si>
  <si>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</si>
  <si>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</si>
  <si>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</si>
  <si>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</si>
  <si>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</si>
  <si>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</si>
  <si>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</si>
  <si>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</si>
  <si>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</si>
  <si>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招商局蛇口工业区控股股份有限公司</t>
  </si>
  <si>
    <t>中央国有企业</t>
  </si>
  <si>
    <t>房地产--房地产Ⅱ--房地产管理和开发--房地产开发</t>
  </si>
  <si>
    <t>广东省深圳市南山区蛇口太子路1号新时代广场</t>
  </si>
  <si>
    <t>公司是招商局集团(中央直接管理的国有重要骨干企业，香港四大中资企业之一)旗下城市综合开发运营板块的旗舰企业，是招商局集团在国内重要的核心资产整合及业务协同平台。公司致力于成为“中国领先的城市及园区综合开发和运营服务商”,确立了“前港-中区-后城”的开发模式，以“产、网、融、城一体化发展”为业务抓手，协同园区开发运营、社区开发运营、邮轮建设运营等三大业务，配套提供多元化的、覆盖全生命周期的产品与服务,包括：精品住宅、商业综合体、智慧及创意园区、片区产业带、邮轮母港、写字楼、酒店公寓、养老产品、长租公寓、健康医疗等，为城市发展与产业升级提供综合性的解决方案。</t>
  </si>
  <si>
    <t>招商局集团有限公司</t>
  </si>
  <si>
    <t>招商局轮船有限公司</t>
  </si>
  <si>
    <t>国新投资有限公司</t>
  </si>
  <si>
    <t>北京诚通金控投资有限公司</t>
  </si>
  <si>
    <t>香港中央结算有限公司</t>
  </si>
  <si>
    <t>首创置业股份有限公司</t>
  </si>
  <si>
    <t>万科企业股份有限公司</t>
  </si>
  <si>
    <t>上海陆家嘴金融贸易区开发股份有限公司</t>
  </si>
  <si>
    <t>上海地产(集团)有限公司</t>
  </si>
  <si>
    <t>北京首都开发控股(集团)有限公司</t>
  </si>
  <si>
    <t>武汉地产开发投资集团有限公司</t>
  </si>
  <si>
    <t>地方国有企业</t>
  </si>
  <si>
    <t>公众企业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</si>
</sst>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83" fontId="0" fillId="0" borderId="0" xfId="0" applyNumberFormat="1" applyAlignment="1"/>
    <xf numFmtId="0" fontId="0" fillId="6" borderId="0" xfId="0" applyFill="1" applyAlignment="1"/>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F21" sqref="F21"/>
    </sheetView>
  </sheetViews>
  <sheetFormatPr defaultColWidth="9" defaultRowHeight="14.4" x14ac:dyDescent="0.25"/>
  <cols>
    <col min="1" max="1" width="10.77734375" style="55" customWidth="1"/>
    <col min="2" max="2" width="17" style="17" customWidth="1"/>
    <col min="3" max="3" width="15.109375" style="17" customWidth="1"/>
    <col min="4" max="4" width="15.44140625" style="55" customWidth="1"/>
    <col min="5" max="5" width="15.88671875" style="55" customWidth="1"/>
    <col min="6" max="6" width="15.6640625" style="55" customWidth="1"/>
    <col min="7" max="7" width="14.88671875" style="55" customWidth="1"/>
    <col min="8" max="8" width="14.21875" style="55" customWidth="1"/>
    <col min="9" max="9" width="15.6640625" style="55" customWidth="1"/>
    <col min="10" max="10" width="14.77734375" style="55" customWidth="1"/>
    <col min="11" max="11" width="11.88671875" style="55" customWidth="1"/>
    <col min="12" max="12" width="11.77734375" style="55" customWidth="1"/>
    <col min="13" max="13" width="11.88671875" style="55" customWidth="1"/>
    <col min="14" max="14" width="12.33203125" style="55" customWidth="1"/>
    <col min="15" max="15" width="13.44140625" style="55" customWidth="1"/>
    <col min="16" max="16" width="11.6640625" style="55" customWidth="1"/>
    <col min="17" max="17" width="10.6640625" style="55" customWidth="1"/>
    <col min="18" max="18" width="10.88671875" style="55"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6" t="s">
        <v>2</v>
      </c>
      <c r="B4" s="119" t="str">
        <f>[1]!b_info_issuerupdated(A2)</f>
        <v>招商局蛇口工业区控股股份有限公司</v>
      </c>
      <c r="C4" s="120"/>
      <c r="D4" s="56" t="s">
        <v>3</v>
      </c>
      <c r="E4" s="119" t="str">
        <f>[1]!s_info_nature(A2)</f>
        <v>中央国有企业</v>
      </c>
      <c r="F4" s="120"/>
      <c r="G4" s="120"/>
      <c r="H4" s="19"/>
    </row>
    <row r="5" spans="1:20" s="17" customFormat="1" ht="14.25" customHeight="1" x14ac:dyDescent="0.25">
      <c r="A5" s="56" t="s">
        <v>4</v>
      </c>
      <c r="B5" s="119" t="str">
        <f>[1]!b_issuer_windindustry(A2,9)</f>
        <v>房地产--房地产Ⅱ--房地产管理和开发--房地产开发</v>
      </c>
      <c r="C5" s="120"/>
      <c r="D5" s="56" t="s">
        <v>5</v>
      </c>
      <c r="E5" s="119" t="str">
        <f>[1]!b_issuer_regaddress(A2)</f>
        <v>广东省深圳市南山区蛇口太子路1号新时代广场</v>
      </c>
      <c r="F5" s="120"/>
      <c r="G5" s="120"/>
    </row>
    <row r="6" spans="1:20" s="17" customFormat="1" ht="81" customHeight="1" x14ac:dyDescent="0.25">
      <c r="A6" s="56" t="s">
        <v>6</v>
      </c>
      <c r="B6" s="121" t="str">
        <f>[1]!s_info_briefing(A2)</f>
        <v>公司是招商局集团(中央直接管理的国有重要骨干企业，香港四大中资企业之一)旗下城市综合开发运营板块的旗舰企业，是招商局集团在国内重要的核心资产整合及业务协同平台。公司致力于成为“中国领先的城市及园区综合开发和运营服务商”,确立了“前港-中区-后城”的开发模式，以“产、网、融、城一体化发展”为业务抓手，协同园区开发运营、社区开发运营、邮轮建设运营等三大业务，配套提供多元化的、覆盖全生命周期的产品与服务,包括：精品住宅、商业综合体、智慧及创意园区、片区产业带、邮轮母港、写字楼、酒店公寓、养老产品、长租公寓、健康医疗等，为城市发展与产业升级提供综合性的解决方案。</v>
      </c>
      <c r="C6" s="120"/>
      <c r="D6" s="120"/>
      <c r="E6" s="120"/>
      <c r="F6" s="120"/>
      <c r="G6" s="120"/>
    </row>
    <row r="7" spans="1:20" s="17" customFormat="1" x14ac:dyDescent="0.25">
      <c r="A7" s="58" t="s">
        <v>7</v>
      </c>
      <c r="B7" s="122" t="str">
        <f>[1]!b_issuer_shareholder(A2,"",1)</f>
        <v>招商局集团有限公司</v>
      </c>
      <c r="C7" s="120"/>
      <c r="D7" s="120"/>
      <c r="E7" s="120"/>
      <c r="F7" s="60">
        <f>[1]!b_issuer_propofshareholder($A$2,"",1)%</f>
        <v>0.58279998779296871</v>
      </c>
      <c r="G7" s="59"/>
      <c r="H7" s="20" t="s">
        <v>8</v>
      </c>
      <c r="M7" s="24">
        <v>42004</v>
      </c>
      <c r="N7" s="24">
        <v>42369</v>
      </c>
      <c r="O7" s="24">
        <v>41639</v>
      </c>
      <c r="P7" s="61" t="s">
        <v>9</v>
      </c>
      <c r="Q7" s="61" t="s">
        <v>10</v>
      </c>
      <c r="R7" s="61" t="s">
        <v>11</v>
      </c>
    </row>
    <row r="8" spans="1:20" s="17" customFormat="1" x14ac:dyDescent="0.25">
      <c r="A8" s="58"/>
      <c r="B8" s="122" t="str">
        <f>[1]!b_issuer_shareholder(A2,"",2)</f>
        <v>招商局轮船有限公司</v>
      </c>
      <c r="C8" s="120"/>
      <c r="D8" s="120"/>
      <c r="E8" s="120"/>
      <c r="F8" s="60">
        <f>[1]!b_issuer_propofshareholder($A$2,"",2)%</f>
        <v>5.1799998283386231E-2</v>
      </c>
      <c r="G8" s="59"/>
      <c r="H8" s="20"/>
      <c r="M8" s="25"/>
      <c r="O8" s="25"/>
      <c r="P8" s="62"/>
    </row>
    <row r="9" spans="1:20" s="17" customFormat="1" x14ac:dyDescent="0.25">
      <c r="A9" s="58"/>
      <c r="B9" s="122" t="str">
        <f>[1]!b_issuer_shareholder(A2,"",3)</f>
        <v>国新投资有限公司</v>
      </c>
      <c r="C9" s="120"/>
      <c r="D9" s="120"/>
      <c r="E9" s="120"/>
      <c r="F9" s="60">
        <f>[1]!b_issuer_propofshareholder($A$2,"",3)%</f>
        <v>4.8499999046325681E-2</v>
      </c>
      <c r="G9" s="59"/>
      <c r="H9" s="20"/>
      <c r="M9" s="25"/>
      <c r="O9" s="25"/>
      <c r="P9" s="62"/>
    </row>
    <row r="10" spans="1:20" s="17" customFormat="1" x14ac:dyDescent="0.25">
      <c r="A10" s="58"/>
      <c r="B10" s="122" t="str">
        <f>[1]!b_issuer_shareholder(A2,"",4)</f>
        <v>北京诚通金控投资有限公司</v>
      </c>
      <c r="C10" s="120"/>
      <c r="D10" s="120"/>
      <c r="E10" s="120"/>
      <c r="F10" s="60">
        <f>[1]!b_issuer_propofshareholder($A$2,"",4)%</f>
        <v>2.9900000095367432E-2</v>
      </c>
      <c r="G10" s="59"/>
      <c r="H10" s="20"/>
      <c r="M10" s="25"/>
      <c r="O10" s="25"/>
      <c r="P10" s="62"/>
    </row>
    <row r="11" spans="1:20" s="17" customFormat="1" x14ac:dyDescent="0.25">
      <c r="A11" s="58"/>
      <c r="B11" s="122" t="str">
        <f>[1]!b_issuer_shareholder(A2,"",5)</f>
        <v>香港中央结算有限公司</v>
      </c>
      <c r="C11" s="120"/>
      <c r="D11" s="120"/>
      <c r="E11" s="120"/>
      <c r="F11" s="60">
        <f>[1]!b_issuer_propofshareholder($A$2,"",5)%</f>
        <v>1.5299999713897705E-2</v>
      </c>
      <c r="G11" s="59"/>
      <c r="H11" s="20"/>
      <c r="M11" s="25"/>
      <c r="O11" s="25"/>
      <c r="P11" s="62"/>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3">
        <f>[1]!b_info_couponrate2(A14)</f>
        <v>0</v>
      </c>
      <c r="E14" s="63">
        <f>[1]!b_anal_ptmyear(A14,"")</f>
        <v>0</v>
      </c>
      <c r="F14" s="64">
        <f>[1]!b_rate_latestcredit(A14)</f>
        <v>0</v>
      </c>
      <c r="G14" s="63">
        <f>[1]!b_info_issueamount(A14)/100000000</f>
        <v>0</v>
      </c>
      <c r="H14" s="20" t="s">
        <v>20</v>
      </c>
      <c r="J14" s="39" t="str">
        <f>A2</f>
        <v>d19041521.IB</v>
      </c>
      <c r="K14" s="26"/>
      <c r="L14" s="27" t="str">
        <f>T15</f>
        <v>122025.SH</v>
      </c>
      <c r="M14" s="27" t="str">
        <f>T16</f>
        <v>112005.SZ</v>
      </c>
      <c r="N14" s="27" t="str">
        <f>T17</f>
        <v>101451021.IB</v>
      </c>
      <c r="O14" s="27" t="str">
        <f>T18</f>
        <v>101573001.IB</v>
      </c>
      <c r="P14" s="27" t="str">
        <f>T19</f>
        <v>1280151.IB</v>
      </c>
      <c r="Q14" s="27" t="str">
        <f>T20</f>
        <v>1480067.IB</v>
      </c>
      <c r="R14" s="5" t="str">
        <f>T21</f>
        <v>124221.SH</v>
      </c>
    </row>
    <row r="15" spans="1:20" ht="38.25" customHeight="1" x14ac:dyDescent="0.25">
      <c r="B15">
        <f>[1]!b_issue_firstissue(A15)</f>
        <v>0</v>
      </c>
      <c r="C15">
        <f>[1]!b_info_name(A15)</f>
        <v>0</v>
      </c>
      <c r="D15" s="63">
        <f>[1]!b_info_couponrate2(A15)</f>
        <v>0</v>
      </c>
      <c r="E15" s="63">
        <f>[1]!b_anal_ptmyear(A15,"")</f>
        <v>0</v>
      </c>
      <c r="F15" s="64">
        <f>[1]!b_rate_latestcredit(A15)</f>
        <v>0</v>
      </c>
      <c r="G15" s="63">
        <f>[1]!b_info_issueamount(A15)/100000000</f>
        <v>0</v>
      </c>
      <c r="H15" s="20" t="s">
        <v>21</v>
      </c>
      <c r="I15" s="53" t="s">
        <v>22</v>
      </c>
      <c r="J15" s="8" t="str">
        <f>[1]!b_info_issuer(J14)</f>
        <v>招商局蛇口工业区控股股份有限公司</v>
      </c>
      <c r="K15" s="138"/>
      <c r="L15" s="8" t="str">
        <f>[1]!b_info_issuer(L14)</f>
        <v>首创置业股份有限公司</v>
      </c>
      <c r="M15" s="8" t="str">
        <f>[1]!b_info_issuer(M14)</f>
        <v>万科企业股份有限公司</v>
      </c>
      <c r="N15" s="8" t="str">
        <f>[1]!b_info_issuer(N14)</f>
        <v>上海陆家嘴金融贸易区开发股份有限公司</v>
      </c>
      <c r="O15" s="8" t="str">
        <f>[1]!b_info_issuer(O14)</f>
        <v>招商局蛇口工业区控股股份有限公司</v>
      </c>
      <c r="P15" s="8" t="str">
        <f>[1]!b_info_issuer(P14)</f>
        <v>上海地产(集团)有限公司</v>
      </c>
      <c r="Q15" s="8" t="str">
        <f>[1]!b_info_issuer(Q14)</f>
        <v>北京首都开发控股(集团)有限公司</v>
      </c>
      <c r="R15" s="8" t="str">
        <f>[1]!b_info_issuer(R14)</f>
        <v>武汉地产开发投资集团有限公司</v>
      </c>
      <c r="T15" s="4" t="s">
        <v>23</v>
      </c>
    </row>
    <row r="16" spans="1:20" x14ac:dyDescent="0.25">
      <c r="B16">
        <f>[1]!b_issue_firstissue(A16)</f>
        <v>0</v>
      </c>
      <c r="C16">
        <f>[1]!b_info_name(A16)</f>
        <v>0</v>
      </c>
      <c r="D16" s="63">
        <f>[1]!b_info_couponrate2(A16)</f>
        <v>0</v>
      </c>
      <c r="E16" s="63">
        <f>[1]!b_anal_ptmyear(A16,"")</f>
        <v>0</v>
      </c>
      <c r="F16" s="64">
        <f>[1]!b_rate_latestcredit(A16)</f>
        <v>0</v>
      </c>
      <c r="G16" s="63">
        <f>[1]!b_info_issueamount(A16)/100000000</f>
        <v>0</v>
      </c>
      <c r="H16" s="20"/>
      <c r="I16" s="53" t="s">
        <v>24</v>
      </c>
      <c r="J16" s="65" t="str">
        <f>[1]!b_info_latestissurercreditrating(J14)</f>
        <v>AAA</v>
      </c>
      <c r="K16" s="124"/>
      <c r="L16" s="65" t="s">
        <v>25</v>
      </c>
      <c r="M16" s="65" t="s">
        <v>25</v>
      </c>
      <c r="N16" s="65" t="s">
        <v>25</v>
      </c>
      <c r="O16" s="65" t="s">
        <v>25</v>
      </c>
      <c r="P16" s="65" t="s">
        <v>25</v>
      </c>
      <c r="Q16" s="65" t="s">
        <v>25</v>
      </c>
      <c r="R16" s="65" t="s">
        <v>25</v>
      </c>
      <c r="T16" s="4" t="s">
        <v>26</v>
      </c>
    </row>
    <row r="17" spans="2:20" x14ac:dyDescent="0.25">
      <c r="B17">
        <f>[1]!b_issue_firstissue(A17)</f>
        <v>0</v>
      </c>
      <c r="C17">
        <f>[1]!b_info_name(A17)</f>
        <v>0</v>
      </c>
      <c r="D17" s="63">
        <f>[1]!b_info_couponrate2(A17)</f>
        <v>0</v>
      </c>
      <c r="E17" s="63">
        <f>[1]!b_anal_ptmyear(A17,"")</f>
        <v>0</v>
      </c>
      <c r="F17" s="64">
        <f>[1]!b_rate_latestcredit(A17)</f>
        <v>0</v>
      </c>
      <c r="G17" s="63">
        <f>[1]!b_info_issueamount(A17)/100000000</f>
        <v>0</v>
      </c>
      <c r="H17" s="20" t="s">
        <v>27</v>
      </c>
      <c r="I17" s="9" t="s">
        <v>3</v>
      </c>
      <c r="J17" s="66" t="str">
        <f>[1]!s_info_nature(J14)</f>
        <v>中央国有企业</v>
      </c>
      <c r="K17" s="124"/>
      <c r="L17" s="66" t="str">
        <f>[1]!s_info_nature(L14)</f>
        <v>地方国有企业</v>
      </c>
      <c r="M17" s="66" t="str">
        <f>[1]!s_info_nature(M14)</f>
        <v>公众企业</v>
      </c>
      <c r="N17" s="66" t="str">
        <f>[1]!s_info_nature(N14)</f>
        <v>地方国有企业</v>
      </c>
      <c r="O17" s="66" t="str">
        <f>[1]!s_info_nature(O14)</f>
        <v>中央国有企业</v>
      </c>
      <c r="P17" s="66" t="str">
        <f>[1]!s_info_nature(P14)</f>
        <v>地方国有企业</v>
      </c>
      <c r="Q17" s="66" t="str">
        <f>[1]!s_info_nature(Q14)</f>
        <v>地方国有企业</v>
      </c>
      <c r="R17" s="66" t="str">
        <f>[1]!s_info_nature(R14)</f>
        <v>地方国有企业</v>
      </c>
      <c r="T17" s="4" t="s">
        <v>28</v>
      </c>
    </row>
    <row r="18" spans="2:20" x14ac:dyDescent="0.25">
      <c r="B18">
        <f>[1]!b_issue_firstissue(A18)</f>
        <v>0</v>
      </c>
      <c r="C18">
        <f>[1]!b_info_name(A18)</f>
        <v>0</v>
      </c>
      <c r="D18" s="63">
        <f>[1]!b_info_couponrate2(A18)</f>
        <v>0</v>
      </c>
      <c r="E18" s="63">
        <f>[1]!b_anal_ptmyear(A18,"")</f>
        <v>0</v>
      </c>
      <c r="F18" s="64">
        <f>[1]!b_rate_latestcredit(A18)</f>
        <v>0</v>
      </c>
      <c r="G18" s="63">
        <f>[1]!b_info_issueamount(A18)/100000000</f>
        <v>0</v>
      </c>
      <c r="I18" s="9" t="s">
        <v>29</v>
      </c>
      <c r="J18" s="61" t="s">
        <v>30</v>
      </c>
      <c r="K18" s="124"/>
      <c r="L18" s="61" t="s">
        <v>30</v>
      </c>
      <c r="M18" s="61" t="s">
        <v>30</v>
      </c>
      <c r="N18" s="61" t="s">
        <v>30</v>
      </c>
      <c r="O18" s="61" t="s">
        <v>30</v>
      </c>
      <c r="P18" s="61" t="s">
        <v>30</v>
      </c>
      <c r="Q18" s="61" t="s">
        <v>30</v>
      </c>
      <c r="R18" s="61" t="s">
        <v>30</v>
      </c>
      <c r="T18" s="4" t="s">
        <v>31</v>
      </c>
    </row>
    <row r="19" spans="2:20" x14ac:dyDescent="0.25">
      <c r="B19">
        <f>[1]!b_issue_firstissue(A19)</f>
        <v>0</v>
      </c>
      <c r="C19">
        <f>[1]!b_info_name(A19)</f>
        <v>0</v>
      </c>
      <c r="D19" s="63">
        <f>[1]!b_info_couponrate2(A19)</f>
        <v>0</v>
      </c>
      <c r="E19" s="63">
        <f>[1]!b_anal_ptmyear(A19,"")</f>
        <v>0</v>
      </c>
      <c r="F19" s="64">
        <f>[1]!b_rate_latestcredit(A19)</f>
        <v>0</v>
      </c>
      <c r="G19" s="63">
        <f>[1]!b_info_issueamount(A19)/100000000</f>
        <v>0</v>
      </c>
      <c r="I19" s="53" t="s">
        <v>32</v>
      </c>
      <c r="J19" s="67">
        <f>[1]!b_stm07_bs(J14,74,J13,1)/100000000</f>
        <v>3326.2092121849</v>
      </c>
      <c r="K19" s="124"/>
      <c r="L19" s="67">
        <f>[1]!b_stm07_bs(L14,74,L13,1)/100000000</f>
        <v>1414.2116900000001</v>
      </c>
      <c r="M19" s="67">
        <f>[1]!b_stm07_bs(M14,74,M13,1)/100000000</f>
        <v>11653.469178045501</v>
      </c>
      <c r="N19" s="67">
        <f>[1]!b_stm07_bs(N14,74,N13,1)/100000000</f>
        <v>811.80120505899993</v>
      </c>
      <c r="O19" s="67">
        <f>[1]!b_stm07_bs(O14,74,O13,1)/100000000</f>
        <v>3326.2092121849</v>
      </c>
      <c r="P19" s="67">
        <f>[1]!b_stm07_bs(P14,74,P13,1)/100000000</f>
        <v>2781.4531708756999</v>
      </c>
      <c r="Q19" s="67">
        <f>[1]!b_stm07_bs(Q14,74,Q13,1)/100000000</f>
        <v>2668.1369517288999</v>
      </c>
      <c r="R19" s="67">
        <f>[1]!b_stm07_bs(R14,74,R13,1)/100000000</f>
        <v>1203.5259283821001</v>
      </c>
      <c r="T19" s="6" t="s">
        <v>33</v>
      </c>
    </row>
    <row r="20" spans="2:20" x14ac:dyDescent="0.25">
      <c r="B20">
        <f>[1]!b_issue_firstissue(A20)</f>
        <v>0</v>
      </c>
      <c r="C20">
        <f>[1]!b_info_name(A20)</f>
        <v>0</v>
      </c>
      <c r="D20" s="63">
        <f>[1]!b_info_couponrate2(A20)</f>
        <v>0</v>
      </c>
      <c r="E20" s="63">
        <f>[1]!b_anal_ptmyear(A20,"")</f>
        <v>0</v>
      </c>
      <c r="F20" s="64">
        <f>[1]!b_rate_latestcredit(A20)</f>
        <v>0</v>
      </c>
      <c r="G20" s="63">
        <f>[1]!b_info_issueamount(A20)/100000000</f>
        <v>0</v>
      </c>
      <c r="H20" s="23"/>
      <c r="I20" s="53" t="s">
        <v>34</v>
      </c>
      <c r="J20" s="10">
        <f>[1]!s_fa_debttoassets(J14,J13)/100</f>
        <v>0.72105599999999992</v>
      </c>
      <c r="K20" s="124"/>
      <c r="L20" s="10">
        <f>[1]!s_fa_debttoassets(L14,L13)/100</f>
        <v>0.77421000000000006</v>
      </c>
      <c r="M20" s="10">
        <f>[1]!s_fa_debttoassets(M14,M13)/100</f>
        <v>0.83981300000000003</v>
      </c>
      <c r="N20" s="10">
        <f>[1]!s_fa_debttoassets(N14,N13)/100</f>
        <v>0.75111800000000006</v>
      </c>
      <c r="O20" s="10">
        <f>[1]!s_fa_debttoassets(O14,O13)/100</f>
        <v>0.72105599999999992</v>
      </c>
      <c r="P20" s="10">
        <f>[1]!s_fa_debttoassets(P14,P13)/100</f>
        <v>0.68995400000000007</v>
      </c>
      <c r="Q20" s="10">
        <f>[1]!s_fa_debttoassets(Q14,Q13)/100</f>
        <v>0.79214399999999996</v>
      </c>
      <c r="R20" s="10">
        <f>[1]!s_fa_debttoassets(R14,R13)/100</f>
        <v>0.72121899999999994</v>
      </c>
      <c r="T20" s="6" t="s">
        <v>35</v>
      </c>
    </row>
    <row r="21" spans="2:20" x14ac:dyDescent="0.25">
      <c r="B21">
        <f>[1]!b_issue_firstissue(A21)</f>
        <v>0</v>
      </c>
      <c r="C21">
        <f>[1]!b_info_name(A21)</f>
        <v>0</v>
      </c>
      <c r="D21" s="63">
        <f>[1]!b_info_couponrate2(A21)</f>
        <v>0</v>
      </c>
      <c r="E21" s="63">
        <f>[1]!b_anal_ptmyear(A21,"")</f>
        <v>0</v>
      </c>
      <c r="F21" s="64">
        <f>[1]!b_rate_latestcredit(A21)</f>
        <v>0</v>
      </c>
      <c r="G21" s="63">
        <f>[1]!b_info_issueamount(A21)/100000000</f>
        <v>0</v>
      </c>
      <c r="H21" s="19"/>
      <c r="I21" s="53" t="s">
        <v>36</v>
      </c>
      <c r="J21" s="67">
        <f>[1]!s_fa_current(J14,J13)</f>
        <v>1.7129000000000001</v>
      </c>
      <c r="K21" s="124"/>
      <c r="L21" s="67">
        <f>[1]!s_fa_current(L14,L13)</f>
        <v>1.6932</v>
      </c>
      <c r="M21" s="67">
        <f>[1]!s_fa_current(M14,M13)</f>
        <v>1.2009000000000001</v>
      </c>
      <c r="N21" s="67">
        <f>[1]!s_fa_current(N14,N13)</f>
        <v>0.98050000000000004</v>
      </c>
      <c r="O21" s="67">
        <f>[1]!s_fa_current(O14,O13)</f>
        <v>1.7129000000000001</v>
      </c>
      <c r="P21" s="67">
        <f>[1]!s_fa_current(P14,P13)</f>
        <v>2.0672000000000001</v>
      </c>
      <c r="Q21" s="67">
        <f>[1]!s_fa_current(Q14,Q13)</f>
        <v>1.9416</v>
      </c>
      <c r="R21" s="67">
        <f>[1]!s_fa_current(R14,R13)</f>
        <v>2.9238</v>
      </c>
      <c r="T21" s="6" t="s">
        <v>37</v>
      </c>
    </row>
    <row r="22" spans="2:20" x14ac:dyDescent="0.25">
      <c r="B22">
        <f>[1]!b_issue_firstissue(A22)</f>
        <v>0</v>
      </c>
      <c r="C22">
        <f>[1]!b_info_name(A22)</f>
        <v>0</v>
      </c>
      <c r="D22" s="63">
        <f>[1]!b_info_couponrate2(A22)</f>
        <v>0</v>
      </c>
      <c r="E22" s="63">
        <f>[1]!b_anal_ptmyear(A22,"")</f>
        <v>0</v>
      </c>
      <c r="F22" s="64">
        <f>[1]!b_rate_latestcredit(A22)</f>
        <v>0</v>
      </c>
      <c r="G22" s="63">
        <f>[1]!b_info_issueamount(A22)/100000000</f>
        <v>0</v>
      </c>
      <c r="H22" s="19"/>
      <c r="I22" s="53" t="s">
        <v>38</v>
      </c>
      <c r="J22" s="65">
        <f>(J96+J97+J98+J99+J100+J101)/J103</f>
        <v>1.079250347020126</v>
      </c>
      <c r="K22" s="124"/>
      <c r="L22" s="65">
        <f>(公式页!L96+公式页!L97+公式页!L98+公式页!L99+公式页!L100+公式页!L101)/公式页!L103</f>
        <v>1.9028497629600183</v>
      </c>
      <c r="M22" s="65">
        <f t="shared" ref="M22:R22" si="0">(M96+M97+M98+M99+M100+M101)/M103</f>
        <v>1.0264933512076175</v>
      </c>
      <c r="N22" s="65">
        <f t="shared" si="0"/>
        <v>1.4238417872151186</v>
      </c>
      <c r="O22" s="65">
        <f t="shared" si="0"/>
        <v>1.079250347020126</v>
      </c>
      <c r="P22" s="65">
        <f t="shared" si="0"/>
        <v>0.70431455405331278</v>
      </c>
      <c r="Q22" s="65">
        <f t="shared" si="0"/>
        <v>2.008360640376543</v>
      </c>
      <c r="R22" s="65">
        <f t="shared" si="0"/>
        <v>1.8961701662135653</v>
      </c>
    </row>
    <row r="23" spans="2:20" x14ac:dyDescent="0.25">
      <c r="B23">
        <f>[1]!b_issue_firstissue(A23)</f>
        <v>0</v>
      </c>
      <c r="C23">
        <f>[1]!b_info_name(A23)</f>
        <v>0</v>
      </c>
      <c r="D23" s="63">
        <f>[1]!b_info_couponrate2(A23)</f>
        <v>0</v>
      </c>
      <c r="E23" s="63">
        <f>[1]!b_anal_ptmyear(A23,"")</f>
        <v>0</v>
      </c>
      <c r="F23" s="64">
        <f>[1]!b_rate_latestcredit(A23)</f>
        <v>0</v>
      </c>
      <c r="G23" s="63">
        <f>[1]!b_info_issueamount(A23)/100000000</f>
        <v>0</v>
      </c>
      <c r="I23" s="53" t="s">
        <v>39</v>
      </c>
      <c r="J23" s="67">
        <f>[1]!s_fa_ebitdatodebt(J14,J13)</f>
        <v>9.5500000000000002E-2</v>
      </c>
      <c r="K23" s="124"/>
      <c r="L23" s="67">
        <f>[1]!s_fa_ebitdatodebt(L14,L13)</f>
        <v>3.6499999999999998E-2</v>
      </c>
      <c r="M23" s="67">
        <f>[1]!s_fa_ebitdatodebt(M14,M13)</f>
        <v>5.5800000000000002E-2</v>
      </c>
      <c r="N23" s="67">
        <f>[1]!s_fa_ebitdatodebt(N14,N13)</f>
        <v>0.1036</v>
      </c>
      <c r="O23" s="67">
        <f>[1]!s_fa_ebitdatodebt(O14,O13)</f>
        <v>9.5500000000000002E-2</v>
      </c>
      <c r="P23" s="67">
        <f>[1]!s_fa_ebitdatodebt(P14,P13)</f>
        <v>6.7699999999999996E-2</v>
      </c>
      <c r="Q23" s="67">
        <f>[1]!s_fa_ebitdatodebt(Q14,Q13)</f>
        <v>3.8699999999999998E-2</v>
      </c>
      <c r="R23" s="67">
        <f>[1]!s_fa_ebitdatodebt(R14,R13)</f>
        <v>1.7299999999999999E-2</v>
      </c>
    </row>
    <row r="24" spans="2:20" x14ac:dyDescent="0.25">
      <c r="B24">
        <f>[1]!b_issue_firstissue(A24)</f>
        <v>0</v>
      </c>
      <c r="C24">
        <f>[1]!b_info_name(A24)</f>
        <v>0</v>
      </c>
      <c r="D24" s="63">
        <f>[1]!b_info_couponrate2(A24)</f>
        <v>0</v>
      </c>
      <c r="E24" s="63">
        <f>[1]!b_anal_ptmyear(A24,"")</f>
        <v>0</v>
      </c>
      <c r="F24" s="64">
        <f>[1]!b_rate_latestcredit(A24)</f>
        <v>0</v>
      </c>
      <c r="G24" s="63">
        <f>[1]!b_info_issueamount(A24)/100000000</f>
        <v>0</v>
      </c>
      <c r="I24" s="53" t="s">
        <v>40</v>
      </c>
      <c r="J24" s="67">
        <f>[1]!b_stm07_is(J14,9,J13,1)/100000000</f>
        <v>754.54682170009994</v>
      </c>
      <c r="K24" s="124"/>
      <c r="L24" s="67">
        <f>[1]!b_stm07_is(L14,9,L13,1)/100000000</f>
        <v>212.9204</v>
      </c>
      <c r="M24" s="67">
        <f>[1]!b_stm07_is(M14,9,M13,1)/100000000</f>
        <v>2428.9711025051997</v>
      </c>
      <c r="N24" s="67">
        <f>[1]!b_stm07_is(N14,9,N13,1)/100000000</f>
        <v>93.245938084100004</v>
      </c>
      <c r="O24" s="67">
        <f>[1]!b_stm07_is(O14,9,O13,1)/100000000</f>
        <v>754.54682170009994</v>
      </c>
      <c r="P24" s="67">
        <f>[1]!b_stm07_is(P14,9,P13,1)/100000000</f>
        <v>398.36899314330003</v>
      </c>
      <c r="Q24" s="67">
        <f>[1]!b_stm07_is(Q14,9,Q13,1)/100000000</f>
        <v>386.69322523669996</v>
      </c>
      <c r="R24" s="67">
        <f>[1]!b_stm07_is(R14,9,R13,1)/100000000</f>
        <v>70.814810574700005</v>
      </c>
    </row>
    <row r="25" spans="2:20" x14ac:dyDescent="0.25">
      <c r="B25">
        <f>[1]!b_issue_firstissue(A25)</f>
        <v>0</v>
      </c>
      <c r="C25">
        <f>[1]!b_info_name(A25)</f>
        <v>0</v>
      </c>
      <c r="D25" s="63">
        <f>[1]!b_info_couponrate2(A25)</f>
        <v>0</v>
      </c>
      <c r="E25" s="63">
        <f>[1]!b_anal_ptmyear(A25,"")</f>
        <v>0</v>
      </c>
      <c r="F25" s="64">
        <f>[1]!b_rate_latestcredit(A25)</f>
        <v>0</v>
      </c>
      <c r="G25" s="63">
        <f>[1]!b_info_issueamount(A25)/100000000</f>
        <v>0</v>
      </c>
      <c r="I25" s="9" t="s">
        <v>41</v>
      </c>
      <c r="J25" s="11">
        <f>[1]!s_fa_salescashintoor(J14,J13)%</f>
        <v>1.0744</v>
      </c>
      <c r="K25" s="124"/>
      <c r="L25" s="11">
        <f>[1]!s_fa_salescashintoor(L14,L13)%</f>
        <v>1.0973999999999999</v>
      </c>
      <c r="M25" s="11">
        <f>[1]!s_fa_salescashintoor(M14,M13)%</f>
        <v>1.5166999999999999</v>
      </c>
      <c r="N25" s="11">
        <f>[1]!s_fa_salescashintoor(N14,N13)%</f>
        <v>0.54390000000000005</v>
      </c>
      <c r="O25" s="11">
        <f>[1]!s_fa_salescashintoor(O14,O13)%</f>
        <v>1.0744</v>
      </c>
      <c r="P25" s="11">
        <f>[1]!s_fa_salescashintoor(P14,P13)%</f>
        <v>0.98290000000000011</v>
      </c>
      <c r="Q25" s="11">
        <f>[1]!s_fa_salescashintoor(Q14,Q13)%</f>
        <v>1.3413999999999999</v>
      </c>
      <c r="R25" s="11">
        <f>[1]!s_fa_salescashintoor(R14,R13)%</f>
        <v>1.2143999999999999</v>
      </c>
    </row>
    <row r="26" spans="2:20" x14ac:dyDescent="0.25">
      <c r="B26">
        <f>[1]!b_issue_firstissue(A26)</f>
        <v>0</v>
      </c>
      <c r="C26">
        <f>[1]!b_info_name(A26)</f>
        <v>0</v>
      </c>
      <c r="D26" s="63">
        <f>[1]!b_info_couponrate2(A26)</f>
        <v>0</v>
      </c>
      <c r="E26" s="63">
        <f>[1]!b_anal_ptmyear(A26,"")</f>
        <v>0</v>
      </c>
      <c r="F26" s="64">
        <f>[1]!b_rate_latestcredit(A26)</f>
        <v>0</v>
      </c>
      <c r="G26" s="63">
        <f>[1]!b_info_issueamount(A26)/100000000</f>
        <v>0</v>
      </c>
      <c r="I26" s="9" t="s">
        <v>42</v>
      </c>
      <c r="J26" s="11">
        <f>[1]!s_fa_grossprofitmargin(J14,J13)%</f>
        <v>0.37658799999999998</v>
      </c>
      <c r="K26" s="124"/>
      <c r="L26" s="11">
        <f>[1]!s_fa_grossprofitmargin(L14,L13)%</f>
        <v>0.28539399999999998</v>
      </c>
      <c r="M26" s="11">
        <f>[1]!s_fa_grossprofitmargin(M14,M13)%</f>
        <v>0.34095599999999998</v>
      </c>
      <c r="N26" s="11">
        <f>[1]!s_fa_grossprofitmargin(N14,N13)%</f>
        <v>0.49803500000000001</v>
      </c>
      <c r="O26" s="11">
        <f>[1]!s_fa_grossprofitmargin(O14,O13)%</f>
        <v>0.37658799999999998</v>
      </c>
      <c r="P26" s="11">
        <f>[1]!s_fa_grossprofitmargin(P14,P13)%</f>
        <v>0.30884600000000001</v>
      </c>
      <c r="Q26" s="11">
        <f>[1]!s_fa_grossprofitmargin(Q14,Q13)%</f>
        <v>0.33780500000000002</v>
      </c>
      <c r="R26" s="11">
        <f>[1]!s_fa_grossprofitmargin(R14,R13)%</f>
        <v>0.33023000000000002</v>
      </c>
    </row>
    <row r="27" spans="2:20" x14ac:dyDescent="0.25">
      <c r="B27">
        <f>[1]!b_issue_firstissue(A27)</f>
        <v>0</v>
      </c>
      <c r="C27">
        <f>[1]!b_info_name(A27)</f>
        <v>0</v>
      </c>
      <c r="D27" s="63">
        <f>[1]!b_info_couponrate2(A27)</f>
        <v>0</v>
      </c>
      <c r="E27" s="63">
        <f>[1]!b_anal_ptmyear(A27,"")</f>
        <v>0</v>
      </c>
      <c r="F27" s="64">
        <f>[1]!b_rate_latestcredit(A27)</f>
        <v>0</v>
      </c>
      <c r="G27" s="63">
        <f>[1]!b_info_issueamount(A27)/100000000</f>
        <v>0</v>
      </c>
      <c r="I27" s="9" t="s">
        <v>43</v>
      </c>
      <c r="J27" s="68">
        <f>[1]!b_stm07_is(J14,60,J13,1)/100000000</f>
        <v>150.0936119781</v>
      </c>
      <c r="K27" s="124"/>
      <c r="L27" s="68">
        <f>[1]!b_stm07_is(L14,60,L13,1)/100000000</f>
        <v>27.967970000000001</v>
      </c>
      <c r="M27" s="68">
        <f>[1]!b_stm07_is(M14,60,M13,1)/100000000</f>
        <v>372.08387330070002</v>
      </c>
      <c r="N27" s="68">
        <f>[1]!b_stm07_is(N14,60,N13,1)/100000000</f>
        <v>36.754599237299999</v>
      </c>
      <c r="O27" s="68">
        <f>[1]!b_stm07_is(O14,60,O13,1)/100000000</f>
        <v>150.0936119781</v>
      </c>
      <c r="P27" s="68">
        <f>[1]!b_stm07_is(P14,60,P13,1)/100000000</f>
        <v>80.963795070499998</v>
      </c>
      <c r="Q27" s="68">
        <f>[1]!b_stm07_is(Q14,60,Q13,1)/100000000</f>
        <v>42.398366168599999</v>
      </c>
      <c r="R27" s="68">
        <f>[1]!b_stm07_is(R14,60,R13,1)/100000000</f>
        <v>8.6372634137999995</v>
      </c>
    </row>
    <row r="28" spans="2:20" x14ac:dyDescent="0.25">
      <c r="B28">
        <f>[1]!b_issue_firstissue(A28)</f>
        <v>0</v>
      </c>
      <c r="C28">
        <f>[1]!b_info_name(A28)</f>
        <v>0</v>
      </c>
      <c r="D28" s="63">
        <f>[1]!b_info_couponrate2(A28)</f>
        <v>0</v>
      </c>
      <c r="E28" s="63">
        <f>[1]!b_anal_ptmyear(A28,"")</f>
        <v>0</v>
      </c>
      <c r="F28" s="64">
        <f>[1]!b_rate_latestcredit(A28)</f>
        <v>0</v>
      </c>
      <c r="G28" s="63">
        <f>[1]!b_info_issueamount(A28)/100000000</f>
        <v>0</v>
      </c>
      <c r="H28" s="20" t="s">
        <v>44</v>
      </c>
      <c r="I28" s="53" t="s">
        <v>45</v>
      </c>
      <c r="J28" s="10">
        <f>[1]!s_fa_roe(J14,J13)%</f>
        <v>0.19584099999999999</v>
      </c>
      <c r="K28" s="124"/>
      <c r="L28" s="10">
        <f>[1]!s_fa_roe(L14,L13)%</f>
        <v>0.11234400000000001</v>
      </c>
      <c r="M28" s="10">
        <f>[1]!s_fa_roe(M14,M13)%</f>
        <v>0.22795200000000002</v>
      </c>
      <c r="N28" s="10">
        <f>[1]!s_fa_roe(N14,N13)%</f>
        <v>0.22375100000000001</v>
      </c>
      <c r="O28" s="10">
        <f>[1]!s_fa_roe(O14,O13)%</f>
        <v>0.19584099999999999</v>
      </c>
      <c r="P28" s="10">
        <f>[1]!s_fa_roe(P14,P13)%</f>
        <v>0.10878199999999999</v>
      </c>
      <c r="Q28" s="10">
        <f>[1]!s_fa_roe(Q14,Q13)%</f>
        <v>0.10141700000000001</v>
      </c>
      <c r="R28" s="10">
        <f>[1]!s_fa_roe(R14,R13)%</f>
        <v>1.6001000000000001E-2</v>
      </c>
    </row>
    <row r="29" spans="2:20" x14ac:dyDescent="0.25">
      <c r="B29">
        <f>[1]!b_issue_firstissue(A29)</f>
        <v>0</v>
      </c>
      <c r="C29">
        <f>[1]!b_info_name(A29)</f>
        <v>0</v>
      </c>
      <c r="D29" s="63">
        <f>[1]!b_info_couponrate2(A29)</f>
        <v>0</v>
      </c>
      <c r="E29" s="63">
        <f>[1]!b_anal_ptmyear(A29,"")</f>
        <v>0</v>
      </c>
      <c r="F29" s="64">
        <f>[1]!b_rate_latestcredit(A29)</f>
        <v>0</v>
      </c>
      <c r="G29" s="63">
        <f>[1]!b_info_issueamount(A29)/100000000</f>
        <v>0</v>
      </c>
      <c r="I29" s="9" t="s">
        <v>46</v>
      </c>
      <c r="J29" s="68">
        <f>[1]!b_stm07_cs(J14,39,J13,1)/100000000</f>
        <v>-47.086861255699993</v>
      </c>
      <c r="K29" s="124"/>
      <c r="L29" s="68">
        <f>[1]!b_stm07_cs(L14,39,L13,1)/100000000</f>
        <v>44.537889999999997</v>
      </c>
      <c r="M29" s="68">
        <f>[1]!b_stm07_cs(M14,39,M13,1)/100000000</f>
        <v>823.22834216499996</v>
      </c>
      <c r="N29" s="68">
        <f>[1]!b_stm07_cs(N14,39,N13,1)/100000000</f>
        <v>-53.581643983399999</v>
      </c>
      <c r="O29" s="68">
        <f>[1]!b_stm07_cs(O14,39,O13,1)/100000000</f>
        <v>-47.086861255699993</v>
      </c>
      <c r="P29" s="68">
        <f>[1]!b_stm07_cs(P14,39,P13,1)/100000000</f>
        <v>66.116701748200001</v>
      </c>
      <c r="Q29" s="68">
        <f>[1]!b_stm07_cs(Q14,39,Q13,1)/100000000</f>
        <v>-183.47661514979998</v>
      </c>
      <c r="R29" s="68">
        <f>[1]!b_stm07_cs(R14,39,R13,1)/100000000</f>
        <v>-34.230026694099998</v>
      </c>
    </row>
    <row r="30" spans="2:20" x14ac:dyDescent="0.25">
      <c r="B30">
        <f>[1]!b_issue_firstissue(A30)</f>
        <v>0</v>
      </c>
      <c r="C30">
        <f>[1]!b_info_name(A30)</f>
        <v>0</v>
      </c>
      <c r="D30" s="63">
        <f>[1]!b_info_couponrate2(A30)</f>
        <v>0</v>
      </c>
      <c r="E30" s="63">
        <f>[1]!b_anal_ptmyear(A30,"")</f>
        <v>0</v>
      </c>
      <c r="F30" s="64">
        <f>[1]!b_rate_latestcredit(A30)</f>
        <v>0</v>
      </c>
      <c r="G30" s="63">
        <f>[1]!b_info_issueamount(A30)/100000000</f>
        <v>0</v>
      </c>
      <c r="I30" s="28"/>
      <c r="J30" s="69"/>
      <c r="K30" s="29"/>
      <c r="L30" s="69"/>
      <c r="M30" s="69"/>
      <c r="N30" s="69"/>
      <c r="O30" s="69"/>
      <c r="P30" s="69"/>
      <c r="Q30" s="69"/>
      <c r="R30" s="69"/>
    </row>
    <row r="31" spans="2:20" x14ac:dyDescent="0.25">
      <c r="B31">
        <f>[1]!b_issue_firstissue(A31)</f>
        <v>0</v>
      </c>
      <c r="C31">
        <f>[1]!b_info_name(A31)</f>
        <v>0</v>
      </c>
      <c r="D31" s="63">
        <f>[1]!b_info_couponrate2(A31)</f>
        <v>0</v>
      </c>
      <c r="E31" s="63">
        <f>[1]!b_anal_ptmyear(A31,"")</f>
        <v>0</v>
      </c>
      <c r="F31" s="64">
        <f>[1]!b_rate_latestcredit(A31)</f>
        <v>0</v>
      </c>
      <c r="G31" s="63">
        <f>[1]!b_info_issueamount(A31)/100000000</f>
        <v>0</v>
      </c>
      <c r="I31" s="28"/>
      <c r="J31" s="69"/>
      <c r="K31" s="29"/>
      <c r="L31" s="69"/>
      <c r="M31" s="69"/>
      <c r="N31" s="69"/>
      <c r="O31" s="69"/>
      <c r="P31" s="69"/>
      <c r="Q31" s="69"/>
      <c r="R31" s="69"/>
    </row>
    <row r="32" spans="2:20" x14ac:dyDescent="0.25">
      <c r="B32">
        <f>[1]!b_issue_firstissue(A32)</f>
        <v>0</v>
      </c>
      <c r="C32">
        <f>[1]!b_info_name(A32)</f>
        <v>0</v>
      </c>
      <c r="D32" s="63">
        <f>[1]!b_info_couponrate2(A32)</f>
        <v>0</v>
      </c>
      <c r="E32" s="63">
        <f>[1]!b_anal_ptmyear(A32,"")</f>
        <v>0</v>
      </c>
      <c r="F32" s="64">
        <f>[1]!b_rate_latestcredit(A32)</f>
        <v>0</v>
      </c>
      <c r="G32" s="63">
        <f>[1]!b_info_issueamount(A32)/100000000</f>
        <v>0</v>
      </c>
      <c r="I32" s="28"/>
      <c r="J32" s="69"/>
      <c r="K32" s="29"/>
      <c r="L32" s="69"/>
      <c r="M32" s="69"/>
      <c r="N32" s="69"/>
      <c r="O32" s="69"/>
      <c r="P32" s="69"/>
      <c r="Q32" s="69"/>
      <c r="R32" s="69"/>
    </row>
    <row r="33" spans="2:18" x14ac:dyDescent="0.25">
      <c r="B33">
        <f>[1]!b_issue_firstissue(A33)</f>
        <v>0</v>
      </c>
      <c r="C33">
        <f>[1]!b_info_name(A33)</f>
        <v>0</v>
      </c>
      <c r="D33" s="63">
        <f>[1]!b_info_couponrate2(A33)</f>
        <v>0</v>
      </c>
      <c r="E33" s="63">
        <f>[1]!b_anal_ptmyear(A33,"")</f>
        <v>0</v>
      </c>
      <c r="F33" s="64">
        <f>[1]!b_rate_latestcredit(A33)</f>
        <v>0</v>
      </c>
      <c r="G33" s="63">
        <f>[1]!b_info_issueamount(A33)/100000000</f>
        <v>0</v>
      </c>
      <c r="I33" s="28"/>
      <c r="J33" s="69"/>
      <c r="K33" s="29"/>
      <c r="L33" s="69"/>
      <c r="M33" s="69"/>
      <c r="N33" s="69"/>
      <c r="O33" s="69"/>
      <c r="P33" s="69"/>
      <c r="Q33" s="69"/>
      <c r="R33" s="69"/>
    </row>
    <row r="34" spans="2:18" x14ac:dyDescent="0.25">
      <c r="B34">
        <f>[1]!b_issue_firstissue(A34)</f>
        <v>0</v>
      </c>
      <c r="C34">
        <f>[1]!b_info_name(A34)</f>
        <v>0</v>
      </c>
      <c r="D34" s="63">
        <f>[1]!b_info_couponrate2(A34)</f>
        <v>0</v>
      </c>
      <c r="E34" s="63">
        <f>[1]!b_anal_ptmyear(A34,"")</f>
        <v>0</v>
      </c>
      <c r="F34" s="64">
        <f>[1]!b_rate_latestcredit(A34)</f>
        <v>0</v>
      </c>
      <c r="G34" s="63">
        <f>[1]!b_info_issueamount(A34)/100000000</f>
        <v>0</v>
      </c>
      <c r="I34" s="28"/>
      <c r="J34" s="69"/>
      <c r="K34" s="29"/>
      <c r="L34" s="69"/>
      <c r="M34" s="69"/>
      <c r="N34" s="69"/>
      <c r="O34" s="69"/>
      <c r="P34" s="69"/>
      <c r="Q34" s="69"/>
      <c r="R34" s="69"/>
    </row>
    <row r="35" spans="2:18" x14ac:dyDescent="0.25">
      <c r="B35">
        <f>[1]!b_issue_firstissue(A35)</f>
        <v>0</v>
      </c>
      <c r="C35">
        <f>[1]!b_info_name(A35)</f>
        <v>0</v>
      </c>
      <c r="D35" s="63">
        <f>[1]!b_info_couponrate2(A35)</f>
        <v>0</v>
      </c>
      <c r="E35" s="63">
        <f>[1]!b_anal_ptmyear(A35,"")</f>
        <v>0</v>
      </c>
      <c r="F35" s="64">
        <f>[1]!b_rate_latestcredit(A35)</f>
        <v>0</v>
      </c>
      <c r="G35" s="63">
        <f>[1]!b_info_issueamount(A35)/100000000</f>
        <v>0</v>
      </c>
      <c r="I35" s="28"/>
      <c r="J35" s="69"/>
      <c r="K35" s="29"/>
      <c r="L35" s="69"/>
      <c r="M35" s="69"/>
      <c r="N35" s="69"/>
      <c r="O35" s="69"/>
      <c r="P35" s="69"/>
      <c r="Q35" s="69"/>
      <c r="R35" s="69"/>
    </row>
    <row r="36" spans="2:18" x14ac:dyDescent="0.25">
      <c r="B36">
        <f>[1]!b_issue_firstissue(A36)</f>
        <v>0</v>
      </c>
      <c r="C36">
        <f>[1]!b_info_name(A36)</f>
        <v>0</v>
      </c>
      <c r="D36" s="63">
        <f>[1]!b_info_couponrate2(A36)</f>
        <v>0</v>
      </c>
      <c r="E36" s="63">
        <f>[1]!b_anal_ptmyear(A36,"")</f>
        <v>0</v>
      </c>
      <c r="F36" s="64">
        <f>[1]!b_rate_latestcredit(A36)</f>
        <v>0</v>
      </c>
      <c r="G36" s="63">
        <f>[1]!b_info_issueamount(A36)/100000000</f>
        <v>0</v>
      </c>
      <c r="I36" s="28"/>
      <c r="J36" s="69"/>
      <c r="K36" s="29"/>
      <c r="L36" s="69"/>
      <c r="M36" s="69"/>
      <c r="N36" s="69"/>
      <c r="O36" s="69"/>
      <c r="P36" s="69"/>
      <c r="Q36" s="69"/>
      <c r="R36" s="69"/>
    </row>
    <row r="37" spans="2:18" x14ac:dyDescent="0.25">
      <c r="B37">
        <f>[1]!b_issue_firstissue(A37)</f>
        <v>0</v>
      </c>
      <c r="C37">
        <f>[1]!b_info_name(A37)</f>
        <v>0</v>
      </c>
      <c r="D37" s="63">
        <f>[1]!b_info_couponrate2(A37)</f>
        <v>0</v>
      </c>
      <c r="E37" s="63">
        <f>[1]!b_anal_ptmyear(A37,"")</f>
        <v>0</v>
      </c>
      <c r="F37" s="64">
        <f>[1]!b_rate_latestcredit(A37)</f>
        <v>0</v>
      </c>
      <c r="G37" s="63">
        <f>[1]!b_info_issueamount(A37)/100000000</f>
        <v>0</v>
      </c>
      <c r="I37" s="28"/>
      <c r="J37" s="69"/>
      <c r="K37" s="29"/>
      <c r="L37" s="69"/>
      <c r="M37" s="69"/>
      <c r="N37" s="69"/>
      <c r="O37" s="69"/>
      <c r="P37" s="69"/>
      <c r="Q37" s="69"/>
      <c r="R37" s="69"/>
    </row>
    <row r="38" spans="2:18" x14ac:dyDescent="0.25">
      <c r="B38">
        <f>[1]!b_issue_firstissue(A38)</f>
        <v>0</v>
      </c>
      <c r="C38">
        <f>[1]!b_info_name(A38)</f>
        <v>0</v>
      </c>
      <c r="D38" s="63">
        <f>[1]!b_info_couponrate2(A38)</f>
        <v>0</v>
      </c>
      <c r="E38" s="63">
        <f>[1]!b_anal_ptmyear(A38,"")</f>
        <v>0</v>
      </c>
      <c r="F38" s="64">
        <f>[1]!b_rate_latestcredit(A38)</f>
        <v>0</v>
      </c>
      <c r="G38" s="63">
        <f>[1]!b_info_issueamount(A38)/100000000</f>
        <v>0</v>
      </c>
      <c r="I38" s="28"/>
      <c r="J38" s="69"/>
      <c r="K38" s="29"/>
      <c r="L38" s="69"/>
      <c r="M38" s="69"/>
      <c r="N38" s="69"/>
      <c r="O38" s="69"/>
      <c r="P38" s="69"/>
      <c r="Q38" s="69"/>
      <c r="R38" s="69"/>
    </row>
    <row r="39" spans="2:18" x14ac:dyDescent="0.25">
      <c r="B39">
        <f>[1]!b_issue_firstissue(A39)</f>
        <v>0</v>
      </c>
      <c r="C39">
        <f>[1]!b_info_name(A39)</f>
        <v>0</v>
      </c>
      <c r="D39" s="63">
        <f>[1]!b_info_couponrate2(A39)</f>
        <v>0</v>
      </c>
      <c r="E39" s="63">
        <f>[1]!b_anal_ptmyear(A39,"")</f>
        <v>0</v>
      </c>
      <c r="F39" s="64">
        <f>[1]!b_rate_latestcredit(A39)</f>
        <v>0</v>
      </c>
      <c r="G39" s="63">
        <f>[1]!b_info_issueamount(A39)/100000000</f>
        <v>0</v>
      </c>
      <c r="I39" s="28"/>
      <c r="J39" s="69"/>
      <c r="K39" s="29"/>
      <c r="L39" s="69"/>
      <c r="M39" s="69"/>
      <c r="N39" s="69"/>
      <c r="O39" s="69"/>
      <c r="P39" s="69"/>
      <c r="Q39" s="69"/>
      <c r="R39" s="69"/>
    </row>
    <row r="40" spans="2:18" x14ac:dyDescent="0.25">
      <c r="B40">
        <f>[1]!b_issue_firstissue(A40)</f>
        <v>0</v>
      </c>
      <c r="C40">
        <f>[1]!b_info_name(A40)</f>
        <v>0</v>
      </c>
      <c r="D40" s="63">
        <f>[1]!b_info_couponrate2(A40)</f>
        <v>0</v>
      </c>
      <c r="E40" s="63">
        <f>[1]!b_anal_ptmyear(A40,"")</f>
        <v>0</v>
      </c>
      <c r="F40" s="64">
        <f>[1]!b_rate_latestcredit(A40)</f>
        <v>0</v>
      </c>
      <c r="G40" s="63">
        <f>[1]!b_info_issueamount(A40)/100000000</f>
        <v>0</v>
      </c>
      <c r="I40" s="28"/>
      <c r="J40" s="69"/>
      <c r="K40" s="29"/>
      <c r="L40" s="69"/>
      <c r="M40" s="69"/>
      <c r="N40" s="69"/>
      <c r="O40" s="69"/>
      <c r="P40" s="69"/>
      <c r="Q40" s="69"/>
      <c r="R40" s="69"/>
    </row>
    <row r="41" spans="2:18" x14ac:dyDescent="0.25">
      <c r="B41">
        <f>[1]!b_issue_firstissue(A41)</f>
        <v>0</v>
      </c>
      <c r="C41">
        <f>[1]!b_info_name(A41)</f>
        <v>0</v>
      </c>
      <c r="D41" s="63">
        <f>[1]!b_info_couponrate2(A41)</f>
        <v>0</v>
      </c>
      <c r="E41" s="63">
        <f>[1]!b_anal_ptmyear(A41,"")</f>
        <v>0</v>
      </c>
      <c r="F41" s="64">
        <f>[1]!b_rate_latestcredit(A41)</f>
        <v>0</v>
      </c>
      <c r="G41" s="63">
        <f>[1]!b_info_issueamount(A41)/100000000</f>
        <v>0</v>
      </c>
      <c r="I41" s="28"/>
      <c r="J41" s="69"/>
      <c r="K41" s="29"/>
      <c r="L41" s="69"/>
      <c r="M41" s="69"/>
      <c r="N41" s="69"/>
      <c r="O41" s="69"/>
      <c r="P41" s="69"/>
      <c r="Q41" s="69"/>
      <c r="R41" s="69"/>
    </row>
    <row r="42" spans="2:18" x14ac:dyDescent="0.25">
      <c r="B42">
        <f>[1]!b_issue_firstissue(A42)</f>
        <v>0</v>
      </c>
      <c r="C42">
        <f>[1]!b_info_name(A42)</f>
        <v>0</v>
      </c>
      <c r="D42" s="63">
        <f>[1]!b_info_couponrate2(A42)</f>
        <v>0</v>
      </c>
      <c r="E42" s="63">
        <f>[1]!b_anal_ptmyear(A42,"")</f>
        <v>0</v>
      </c>
      <c r="F42" s="64">
        <f>[1]!b_rate_latestcredit(A42)</f>
        <v>0</v>
      </c>
      <c r="G42" s="63">
        <f>[1]!b_info_issueamount(A42)/100000000</f>
        <v>0</v>
      </c>
      <c r="I42" s="28"/>
      <c r="J42" s="69"/>
      <c r="K42" s="29"/>
      <c r="L42" s="69"/>
      <c r="M42" s="69"/>
      <c r="N42" s="69"/>
      <c r="O42" s="69"/>
      <c r="P42" s="69"/>
      <c r="Q42" s="69"/>
      <c r="R42" s="69"/>
    </row>
    <row r="43" spans="2:18" x14ac:dyDescent="0.25">
      <c r="B43">
        <f>[1]!b_issue_firstissue(A43)</f>
        <v>0</v>
      </c>
      <c r="C43">
        <f>[1]!b_info_name(A43)</f>
        <v>0</v>
      </c>
      <c r="D43" s="63">
        <f>[1]!b_info_couponrate2(A43)</f>
        <v>0</v>
      </c>
      <c r="E43" s="63">
        <f>[1]!b_anal_ptmyear(A43,"")</f>
        <v>0</v>
      </c>
      <c r="F43" s="64">
        <f>[1]!b_rate_latestcredit(A43)</f>
        <v>0</v>
      </c>
      <c r="G43" s="63">
        <f>[1]!b_info_issueamount(A43)/100000000</f>
        <v>0</v>
      </c>
      <c r="I43" s="28"/>
      <c r="J43" s="69"/>
      <c r="K43" s="29"/>
      <c r="L43" s="69"/>
      <c r="M43" s="69"/>
      <c r="N43" s="69"/>
      <c r="O43" s="69"/>
      <c r="P43" s="69"/>
      <c r="Q43" s="69"/>
      <c r="R43" s="69"/>
    </row>
    <row r="44" spans="2:18" x14ac:dyDescent="0.25">
      <c r="B44">
        <f>[1]!b_issue_firstissue(A44)</f>
        <v>0</v>
      </c>
      <c r="C44">
        <f>[1]!b_info_name(A44)</f>
        <v>0</v>
      </c>
      <c r="D44" s="63">
        <f>[1]!b_info_couponrate2(A44)</f>
        <v>0</v>
      </c>
      <c r="E44" s="63">
        <f>[1]!b_anal_ptmyear(A44,"")</f>
        <v>0</v>
      </c>
      <c r="F44" s="64">
        <f>[1]!b_rate_latestcredit(A44)</f>
        <v>0</v>
      </c>
      <c r="G44" s="63">
        <f>[1]!b_info_issueamount(A44)/100000000</f>
        <v>0</v>
      </c>
      <c r="I44" s="28"/>
      <c r="J44" s="69"/>
      <c r="K44" s="29"/>
      <c r="L44" s="69"/>
      <c r="M44" s="69"/>
      <c r="N44" s="69"/>
      <c r="O44" s="69"/>
      <c r="P44" s="69"/>
      <c r="Q44" s="69"/>
      <c r="R44" s="69"/>
    </row>
    <row r="45" spans="2:18" x14ac:dyDescent="0.25">
      <c r="B45">
        <f>[1]!b_issue_firstissue(A45)</f>
        <v>0</v>
      </c>
      <c r="C45">
        <f>[1]!b_info_name(A45)</f>
        <v>0</v>
      </c>
      <c r="D45" s="63">
        <f>[1]!b_info_couponrate2(A45)</f>
        <v>0</v>
      </c>
      <c r="E45" s="63">
        <f>[1]!b_anal_ptmyear(A45,"")</f>
        <v>0</v>
      </c>
      <c r="F45" s="64">
        <f>[1]!b_rate_latestcredit(A45)</f>
        <v>0</v>
      </c>
      <c r="G45" s="63">
        <f>[1]!b_info_issueamount(A45)/100000000</f>
        <v>0</v>
      </c>
      <c r="I45" s="28"/>
      <c r="J45" s="69"/>
      <c r="K45" s="29"/>
      <c r="L45" s="69"/>
      <c r="M45" s="69"/>
      <c r="N45" s="69"/>
      <c r="O45" s="69"/>
      <c r="P45" s="69"/>
      <c r="Q45" s="69"/>
      <c r="R45" s="69"/>
    </row>
    <row r="46" spans="2:18" x14ac:dyDescent="0.25">
      <c r="B46">
        <f>[1]!b_issue_firstissue(A46)</f>
        <v>0</v>
      </c>
      <c r="C46">
        <f>[1]!b_info_name(A46)</f>
        <v>0</v>
      </c>
      <c r="D46" s="63">
        <f>[1]!b_info_couponrate2(A46)</f>
        <v>0</v>
      </c>
      <c r="E46" s="63">
        <f>[1]!b_anal_ptmyear(A46,"")</f>
        <v>0</v>
      </c>
      <c r="F46" s="64">
        <f>[1]!b_rate_latestcredit(A46)</f>
        <v>0</v>
      </c>
      <c r="G46" s="63">
        <f>[1]!b_info_issueamount(A46)/100000000</f>
        <v>0</v>
      </c>
      <c r="I46" s="28"/>
      <c r="J46" s="69"/>
      <c r="K46" s="29"/>
      <c r="L46" s="69"/>
      <c r="M46" s="69"/>
      <c r="N46" s="69"/>
      <c r="O46" s="69"/>
      <c r="P46" s="69"/>
      <c r="Q46" s="69"/>
      <c r="R46" s="69"/>
    </row>
    <row r="47" spans="2:18" x14ac:dyDescent="0.25">
      <c r="B47">
        <f>[1]!b_issue_firstissue(A47)</f>
        <v>0</v>
      </c>
      <c r="C47">
        <f>[1]!b_info_name(A47)</f>
        <v>0</v>
      </c>
      <c r="D47" s="63">
        <f>[1]!b_info_couponrate2(A47)</f>
        <v>0</v>
      </c>
      <c r="E47" s="63">
        <f>[1]!b_anal_ptmyear(A47,"")</f>
        <v>0</v>
      </c>
      <c r="F47" s="64">
        <f>[1]!b_rate_latestcredit(A47)</f>
        <v>0</v>
      </c>
      <c r="G47" s="63">
        <f>[1]!b_info_issueamount(A47)/100000000</f>
        <v>0</v>
      </c>
      <c r="I47" s="28"/>
      <c r="J47" s="69"/>
      <c r="K47" s="29"/>
      <c r="L47" s="69"/>
      <c r="M47" s="69"/>
      <c r="N47" s="69"/>
      <c r="O47" s="69"/>
      <c r="P47" s="69"/>
      <c r="Q47" s="69"/>
      <c r="R47" s="69"/>
    </row>
    <row r="48" spans="2:18" x14ac:dyDescent="0.25">
      <c r="B48">
        <f>[1]!b_issue_firstissue(A48)</f>
        <v>0</v>
      </c>
      <c r="C48">
        <f>[1]!b_info_name(A48)</f>
        <v>0</v>
      </c>
      <c r="D48" s="63">
        <f>[1]!b_info_couponrate2(A48)</f>
        <v>0</v>
      </c>
      <c r="E48" s="63">
        <f>[1]!b_anal_ptmyear(A48,"")</f>
        <v>0</v>
      </c>
      <c r="F48" s="64">
        <f>[1]!b_rate_latestcredit(A48)</f>
        <v>0</v>
      </c>
      <c r="G48" s="63">
        <f>[1]!b_info_issueamount(A48)/100000000</f>
        <v>0</v>
      </c>
      <c r="I48" s="28"/>
      <c r="J48" s="69"/>
      <c r="K48" s="29"/>
      <c r="L48" s="69"/>
      <c r="M48" s="69"/>
      <c r="N48" s="69"/>
      <c r="O48" s="69"/>
      <c r="P48" s="69"/>
      <c r="Q48" s="69"/>
      <c r="R48" s="69"/>
    </row>
    <row r="49" spans="2:18" x14ac:dyDescent="0.25">
      <c r="B49">
        <f>[1]!b_issue_firstissue(A49)</f>
        <v>0</v>
      </c>
      <c r="C49">
        <f>[1]!b_info_name(A49)</f>
        <v>0</v>
      </c>
      <c r="D49" s="63">
        <f>[1]!b_info_couponrate2(A49)</f>
        <v>0</v>
      </c>
      <c r="E49" s="63">
        <f>[1]!b_anal_ptmyear(A49,"")</f>
        <v>0</v>
      </c>
      <c r="F49" s="64">
        <f>[1]!b_rate_latestcredit(A49)</f>
        <v>0</v>
      </c>
      <c r="G49" s="63">
        <f>[1]!b_info_issueamount(A49)/100000000</f>
        <v>0</v>
      </c>
      <c r="I49" s="28"/>
      <c r="J49" s="69"/>
      <c r="K49" s="29"/>
      <c r="L49" s="69"/>
      <c r="M49" s="69"/>
      <c r="N49" s="69"/>
      <c r="O49" s="69"/>
      <c r="P49" s="69"/>
      <c r="Q49" s="69"/>
      <c r="R49" s="69"/>
    </row>
    <row r="50" spans="2:18" x14ac:dyDescent="0.25">
      <c r="B50">
        <f>[1]!b_issue_firstissue(A50)</f>
        <v>0</v>
      </c>
      <c r="C50">
        <f>[1]!b_info_name(A50)</f>
        <v>0</v>
      </c>
      <c r="D50" s="63">
        <f>[1]!b_info_couponrate2(A50)</f>
        <v>0</v>
      </c>
      <c r="E50" s="63">
        <f>[1]!b_anal_ptmyear(A50,"")</f>
        <v>0</v>
      </c>
      <c r="F50" s="64">
        <f>[1]!b_rate_latestcredit(A50)</f>
        <v>0</v>
      </c>
      <c r="G50" s="63">
        <f>[1]!b_info_issueamount(A50)/100000000</f>
        <v>0</v>
      </c>
      <c r="I50" s="28"/>
      <c r="J50" s="69"/>
      <c r="K50" s="29"/>
      <c r="L50" s="69"/>
      <c r="M50" s="69"/>
      <c r="N50" s="69"/>
      <c r="O50" s="69"/>
      <c r="P50" s="69"/>
      <c r="Q50" s="69"/>
      <c r="R50" s="69"/>
    </row>
    <row r="51" spans="2:18" x14ac:dyDescent="0.25">
      <c r="B51">
        <f>[1]!b_issue_firstissue(A51)</f>
        <v>0</v>
      </c>
      <c r="C51">
        <f>[1]!b_info_name(A51)</f>
        <v>0</v>
      </c>
      <c r="D51" s="63">
        <f>[1]!b_info_couponrate2(A51)</f>
        <v>0</v>
      </c>
      <c r="E51" s="63">
        <f>[1]!b_anal_ptmyear(A51,"")</f>
        <v>0</v>
      </c>
      <c r="F51" s="64">
        <f>[1]!b_rate_latestcredit(A51)</f>
        <v>0</v>
      </c>
      <c r="G51" s="63">
        <f>[1]!b_info_issueamount(A51)/100000000</f>
        <v>0</v>
      </c>
      <c r="I51" s="28"/>
      <c r="J51" s="69"/>
      <c r="K51" s="29"/>
      <c r="L51" s="69"/>
      <c r="M51" s="69"/>
      <c r="N51" s="69"/>
      <c r="O51" s="69"/>
      <c r="P51" s="69"/>
      <c r="Q51" s="69"/>
      <c r="R51" s="69"/>
    </row>
    <row r="52" spans="2:18" x14ac:dyDescent="0.25">
      <c r="B52">
        <f>[1]!b_issue_firstissue(A52)</f>
        <v>0</v>
      </c>
      <c r="C52">
        <f>[1]!b_info_name(A52)</f>
        <v>0</v>
      </c>
      <c r="D52" s="63">
        <f>[1]!b_info_couponrate2(A52)</f>
        <v>0</v>
      </c>
      <c r="E52" s="63">
        <f>[1]!b_anal_ptmyear(A52,"")</f>
        <v>0</v>
      </c>
      <c r="F52" s="64">
        <f>[1]!b_rate_latestcredit(A52)</f>
        <v>0</v>
      </c>
      <c r="G52" s="63">
        <f>[1]!b_info_issueamount(A52)/100000000</f>
        <v>0</v>
      </c>
      <c r="I52" s="28"/>
      <c r="J52" s="69"/>
      <c r="K52" s="29"/>
      <c r="L52" s="69"/>
      <c r="M52" s="69"/>
      <c r="N52" s="69"/>
      <c r="O52" s="69"/>
      <c r="P52" s="69"/>
      <c r="Q52" s="69"/>
      <c r="R52" s="69"/>
    </row>
    <row r="53" spans="2:18" x14ac:dyDescent="0.25">
      <c r="B53">
        <f>[1]!b_issue_firstissue(A53)</f>
        <v>0</v>
      </c>
      <c r="C53">
        <f>[1]!b_info_name(A53)</f>
        <v>0</v>
      </c>
      <c r="D53" s="63">
        <f>[1]!b_info_couponrate2(A53)</f>
        <v>0</v>
      </c>
      <c r="E53" s="63">
        <f>[1]!b_anal_ptmyear(A53,"")</f>
        <v>0</v>
      </c>
      <c r="F53" s="64">
        <f>[1]!b_rate_latestcredit(A53)</f>
        <v>0</v>
      </c>
      <c r="G53" s="63">
        <f>[1]!b_info_issueamount(A53)/100000000</f>
        <v>0</v>
      </c>
      <c r="I53" s="28"/>
      <c r="J53" s="69"/>
      <c r="K53" s="29"/>
      <c r="L53" s="69"/>
      <c r="M53" s="69"/>
      <c r="N53" s="69"/>
      <c r="O53" s="69"/>
      <c r="P53" s="69"/>
      <c r="Q53" s="69"/>
      <c r="R53" s="69"/>
    </row>
    <row r="54" spans="2:18" x14ac:dyDescent="0.25">
      <c r="B54">
        <f>[1]!b_issue_firstissue(A54)</f>
        <v>0</v>
      </c>
      <c r="C54">
        <f>[1]!b_info_name(A54)</f>
        <v>0</v>
      </c>
      <c r="D54" s="63">
        <f>[1]!b_info_couponrate2(A54)</f>
        <v>0</v>
      </c>
      <c r="E54" s="63">
        <f>[1]!b_anal_ptmyear(A54,"")</f>
        <v>0</v>
      </c>
      <c r="F54" s="64">
        <f>[1]!b_rate_latestcredit(A54)</f>
        <v>0</v>
      </c>
      <c r="G54" s="63">
        <f>[1]!b_info_issueamount(A54)/100000000</f>
        <v>0</v>
      </c>
      <c r="I54" s="28"/>
      <c r="J54" s="69"/>
      <c r="K54" s="29"/>
      <c r="L54" s="69"/>
      <c r="M54" s="69"/>
      <c r="N54" s="69"/>
      <c r="O54" s="69"/>
      <c r="P54" s="69"/>
      <c r="Q54" s="69"/>
      <c r="R54" s="69"/>
    </row>
    <row r="55" spans="2:18" x14ac:dyDescent="0.25">
      <c r="B55">
        <f>[1]!b_issue_firstissue(A55)</f>
        <v>0</v>
      </c>
      <c r="C55">
        <f>[1]!b_info_name(A55)</f>
        <v>0</v>
      </c>
      <c r="D55" s="63">
        <f>[1]!b_info_couponrate2(A55)</f>
        <v>0</v>
      </c>
      <c r="E55" s="63">
        <f>[1]!b_anal_ptmyear(A55,"")</f>
        <v>0</v>
      </c>
      <c r="F55" s="64">
        <f>[1]!b_rate_latestcredit(A55)</f>
        <v>0</v>
      </c>
      <c r="G55" s="63">
        <f>[1]!b_info_issueamount(A55)/100000000</f>
        <v>0</v>
      </c>
      <c r="I55" s="28"/>
      <c r="J55" s="69"/>
      <c r="K55" s="29"/>
      <c r="L55" s="69"/>
      <c r="M55" s="69"/>
      <c r="N55" s="69"/>
      <c r="O55" s="69"/>
      <c r="P55" s="69"/>
      <c r="Q55" s="69"/>
      <c r="R55" s="69"/>
    </row>
    <row r="56" spans="2:18" x14ac:dyDescent="0.25">
      <c r="B56">
        <f>[1]!b_issue_firstissue(A56)</f>
        <v>0</v>
      </c>
      <c r="C56">
        <f>[1]!b_info_name(A56)</f>
        <v>0</v>
      </c>
      <c r="D56" s="63">
        <f>[1]!b_info_couponrate2(A56)</f>
        <v>0</v>
      </c>
      <c r="E56" s="63">
        <f>[1]!b_anal_ptmyear(A56,"")</f>
        <v>0</v>
      </c>
      <c r="F56" s="64">
        <f>[1]!b_rate_latestcredit(A56)</f>
        <v>0</v>
      </c>
      <c r="G56" s="63">
        <f>[1]!b_info_issueamount(A56)/100000000</f>
        <v>0</v>
      </c>
      <c r="I56" s="28"/>
      <c r="J56" s="69"/>
      <c r="K56" s="29"/>
      <c r="L56" s="69"/>
      <c r="M56" s="69"/>
      <c r="N56" s="69"/>
      <c r="O56" s="69"/>
      <c r="P56" s="69"/>
      <c r="Q56" s="69"/>
      <c r="R56" s="69"/>
    </row>
    <row r="57" spans="2:18" x14ac:dyDescent="0.25">
      <c r="B57">
        <f>[1]!b_issue_firstissue(A57)</f>
        <v>0</v>
      </c>
      <c r="C57">
        <f>[1]!b_info_name(A57)</f>
        <v>0</v>
      </c>
      <c r="D57" s="63">
        <f>[1]!b_info_couponrate2(A57)</f>
        <v>0</v>
      </c>
      <c r="E57" s="63">
        <f>[1]!b_anal_ptmyear(A57,"")</f>
        <v>0</v>
      </c>
      <c r="F57" s="64">
        <f>[1]!b_rate_latestcredit(A57)</f>
        <v>0</v>
      </c>
      <c r="G57" s="63">
        <f>[1]!b_info_issueamount(A57)/100000000</f>
        <v>0</v>
      </c>
      <c r="I57" s="28"/>
      <c r="J57" s="69"/>
      <c r="K57" s="29"/>
      <c r="L57" s="69"/>
      <c r="M57" s="69"/>
      <c r="N57" s="69"/>
      <c r="O57" s="69"/>
      <c r="P57" s="69"/>
      <c r="Q57" s="69"/>
      <c r="R57" s="69"/>
    </row>
    <row r="58" spans="2:18" x14ac:dyDescent="0.25">
      <c r="B58">
        <f>[1]!b_issue_firstissue(A58)</f>
        <v>0</v>
      </c>
      <c r="C58">
        <f>[1]!b_info_name(A58)</f>
        <v>0</v>
      </c>
      <c r="D58" s="63">
        <f>[1]!b_info_couponrate2(A58)</f>
        <v>0</v>
      </c>
      <c r="E58" s="63">
        <f>[1]!b_anal_ptmyear(A58,"")</f>
        <v>0</v>
      </c>
      <c r="F58" s="64">
        <f>[1]!b_rate_latestcredit(A58)</f>
        <v>0</v>
      </c>
      <c r="G58" s="63">
        <f>[1]!b_info_issueamount(A58)/100000000</f>
        <v>0</v>
      </c>
      <c r="I58" s="28"/>
      <c r="J58" s="69"/>
      <c r="K58" s="29"/>
      <c r="L58" s="69"/>
      <c r="M58" s="69"/>
      <c r="N58" s="69"/>
      <c r="O58" s="69"/>
      <c r="P58" s="69"/>
      <c r="Q58" s="69"/>
      <c r="R58" s="69"/>
    </row>
    <row r="59" spans="2:18" x14ac:dyDescent="0.25">
      <c r="B59">
        <f>[1]!b_issue_firstissue(A59)</f>
        <v>0</v>
      </c>
      <c r="C59">
        <f>[1]!b_info_name(A59)</f>
        <v>0</v>
      </c>
      <c r="D59" s="63">
        <f>[1]!b_info_couponrate2(A59)</f>
        <v>0</v>
      </c>
      <c r="E59" s="63">
        <f>[1]!b_anal_ptmyear(A59,"")</f>
        <v>0</v>
      </c>
      <c r="F59" s="64">
        <f>[1]!b_rate_latestcredit(A59)</f>
        <v>0</v>
      </c>
      <c r="G59" s="63">
        <f>[1]!b_info_issueamount(A59)/100000000</f>
        <v>0</v>
      </c>
      <c r="I59" s="28"/>
      <c r="J59" s="69"/>
      <c r="K59" s="29"/>
      <c r="L59" s="69"/>
      <c r="M59" s="69"/>
      <c r="N59" s="69"/>
      <c r="O59" s="69"/>
      <c r="P59" s="69"/>
      <c r="Q59" s="69"/>
      <c r="R59" s="69"/>
    </row>
    <row r="60" spans="2:18" x14ac:dyDescent="0.25">
      <c r="B60">
        <f>[1]!b_issue_firstissue(A60)</f>
        <v>0</v>
      </c>
      <c r="C60">
        <f>[1]!b_info_name(A60)</f>
        <v>0</v>
      </c>
      <c r="D60" s="63">
        <f>[1]!b_info_couponrate2(A60)</f>
        <v>0</v>
      </c>
      <c r="E60" s="63">
        <f>[1]!b_anal_ptmyear(A60,"")</f>
        <v>0</v>
      </c>
      <c r="F60" s="64">
        <f>[1]!b_rate_latestcredit(A60)</f>
        <v>0</v>
      </c>
      <c r="G60" s="63">
        <f>[1]!b_info_issueamount(A60)/100000000</f>
        <v>0</v>
      </c>
      <c r="I60" s="28"/>
      <c r="J60" s="69"/>
      <c r="K60" s="29"/>
      <c r="L60" s="69"/>
      <c r="M60" s="69"/>
      <c r="N60" s="69"/>
      <c r="O60" s="69"/>
      <c r="P60" s="69"/>
      <c r="Q60" s="69"/>
      <c r="R60" s="69"/>
    </row>
    <row r="61" spans="2:18" x14ac:dyDescent="0.25">
      <c r="B61">
        <f>[1]!b_issue_firstissue(A61)</f>
        <v>0</v>
      </c>
      <c r="C61">
        <f>[1]!b_info_name(A61)</f>
        <v>0</v>
      </c>
      <c r="D61" s="63">
        <f>[1]!b_info_couponrate2(A61)</f>
        <v>0</v>
      </c>
      <c r="E61" s="63">
        <f>[1]!b_anal_ptmyear(A61,"")</f>
        <v>0</v>
      </c>
      <c r="F61" s="64">
        <f>[1]!b_rate_latestcredit(A61)</f>
        <v>0</v>
      </c>
      <c r="G61" s="63">
        <f>[1]!b_info_issueamount(A61)/100000000</f>
        <v>0</v>
      </c>
      <c r="I61" s="28"/>
      <c r="J61" s="69"/>
      <c r="K61" s="29"/>
      <c r="L61" s="69"/>
      <c r="M61" s="69"/>
      <c r="N61" s="69"/>
      <c r="O61" s="69"/>
      <c r="P61" s="69"/>
      <c r="Q61" s="69"/>
      <c r="R61" s="69"/>
    </row>
    <row r="62" spans="2:18" x14ac:dyDescent="0.25">
      <c r="B62">
        <f>[1]!b_issue_firstissue(A62)</f>
        <v>0</v>
      </c>
      <c r="C62">
        <f>[1]!b_info_name(A62)</f>
        <v>0</v>
      </c>
      <c r="D62" s="63">
        <f>[1]!b_info_couponrate2(A62)</f>
        <v>0</v>
      </c>
      <c r="E62" s="63">
        <f>[1]!b_anal_ptmyear(A62,"")</f>
        <v>0</v>
      </c>
      <c r="F62" s="64">
        <f>[1]!b_rate_latestcredit(A62)</f>
        <v>0</v>
      </c>
      <c r="G62" s="63">
        <f>[1]!b_info_issueamount(A62)/100000000</f>
        <v>0</v>
      </c>
      <c r="I62" s="28"/>
      <c r="J62" s="69"/>
      <c r="K62" s="29"/>
      <c r="L62" s="69"/>
      <c r="M62" s="69"/>
      <c r="N62" s="69"/>
      <c r="O62" s="69"/>
      <c r="P62" s="69"/>
      <c r="Q62" s="69"/>
      <c r="R62" s="69"/>
    </row>
    <row r="63" spans="2:18" x14ac:dyDescent="0.25">
      <c r="B63">
        <f>[1]!b_issue_firstissue(A63)</f>
        <v>0</v>
      </c>
      <c r="C63">
        <f>[1]!b_info_name(A63)</f>
        <v>0</v>
      </c>
      <c r="D63" s="63">
        <f>[1]!b_info_couponrate2(A63)</f>
        <v>0</v>
      </c>
      <c r="E63" s="63">
        <f>[1]!b_anal_ptmyear(A63,"")</f>
        <v>0</v>
      </c>
      <c r="F63" s="64">
        <f>[1]!b_rate_latestcredit(A63)</f>
        <v>0</v>
      </c>
      <c r="G63" s="63">
        <f>[1]!b_info_issueamount(A63)/100000000</f>
        <v>0</v>
      </c>
      <c r="I63" s="28"/>
      <c r="J63" s="69"/>
      <c r="K63" s="29"/>
      <c r="L63" s="69"/>
      <c r="M63" s="69"/>
      <c r="N63" s="69"/>
      <c r="O63" s="69"/>
      <c r="P63" s="69"/>
      <c r="Q63" s="69"/>
      <c r="R63" s="69"/>
    </row>
    <row r="64" spans="2:18" x14ac:dyDescent="0.25">
      <c r="B64">
        <f>[1]!b_issue_firstissue(A64)</f>
        <v>0</v>
      </c>
      <c r="C64">
        <f>[1]!b_info_name(A64)</f>
        <v>0</v>
      </c>
      <c r="D64" s="63">
        <f>[1]!b_info_couponrate2(A64)</f>
        <v>0</v>
      </c>
      <c r="E64" s="63">
        <f>[1]!b_anal_ptmyear(A64,"")</f>
        <v>0</v>
      </c>
      <c r="F64" s="64">
        <f>[1]!b_rate_latestcredit(A64)</f>
        <v>0</v>
      </c>
      <c r="G64" s="63">
        <f>[1]!b_info_issueamount(A64)/100000000</f>
        <v>0</v>
      </c>
      <c r="I64" s="28"/>
      <c r="J64" s="69"/>
      <c r="K64" s="29"/>
      <c r="L64" s="69"/>
      <c r="M64" s="69"/>
      <c r="N64" s="69"/>
      <c r="O64" s="69"/>
      <c r="P64" s="69"/>
      <c r="Q64" s="69"/>
      <c r="R64" s="69"/>
    </row>
    <row r="65" spans="2:18" x14ac:dyDescent="0.25">
      <c r="B65">
        <f>[1]!b_issue_firstissue(A65)</f>
        <v>0</v>
      </c>
      <c r="C65">
        <f>[1]!b_info_name(A65)</f>
        <v>0</v>
      </c>
      <c r="D65" s="63">
        <f>[1]!b_info_couponrate2(A65)</f>
        <v>0</v>
      </c>
      <c r="E65" s="63">
        <f>[1]!b_anal_ptmyear(A65,"")</f>
        <v>0</v>
      </c>
      <c r="F65" s="64">
        <f>[1]!b_rate_latestcredit(A65)</f>
        <v>0</v>
      </c>
      <c r="G65" s="63">
        <f>[1]!b_info_issueamount(A65)/100000000</f>
        <v>0</v>
      </c>
      <c r="I65" s="28"/>
      <c r="J65" s="69"/>
      <c r="K65" s="29"/>
      <c r="L65" s="69"/>
      <c r="M65" s="69"/>
      <c r="N65" s="69"/>
      <c r="O65" s="69"/>
      <c r="P65" s="69"/>
      <c r="Q65" s="69"/>
      <c r="R65" s="69"/>
    </row>
    <row r="66" spans="2:18" x14ac:dyDescent="0.25">
      <c r="B66">
        <f>[1]!b_issue_firstissue(A66)</f>
        <v>0</v>
      </c>
      <c r="C66">
        <f>[1]!b_info_name(A66)</f>
        <v>0</v>
      </c>
      <c r="D66" s="63">
        <f>[1]!b_info_couponrate2(A66)</f>
        <v>0</v>
      </c>
      <c r="E66" s="63">
        <f>[1]!b_anal_ptmyear(A66,"")</f>
        <v>0</v>
      </c>
      <c r="F66" s="64">
        <f>[1]!b_rate_latestcredit(A66)</f>
        <v>0</v>
      </c>
      <c r="G66" s="63">
        <f>[1]!b_info_issueamount(A66)/100000000</f>
        <v>0</v>
      </c>
      <c r="I66" s="28"/>
      <c r="J66" s="69"/>
      <c r="K66" s="29"/>
      <c r="L66" s="69"/>
      <c r="M66" s="69"/>
      <c r="N66" s="69"/>
      <c r="O66" s="69"/>
      <c r="P66" s="69"/>
      <c r="Q66" s="69"/>
      <c r="R66" s="69"/>
    </row>
    <row r="67" spans="2:18" x14ac:dyDescent="0.25">
      <c r="B67">
        <f>[1]!b_issue_firstissue(A67)</f>
        <v>0</v>
      </c>
      <c r="C67">
        <f>[1]!b_info_name(A67)</f>
        <v>0</v>
      </c>
      <c r="D67" s="63">
        <f>[1]!b_info_couponrate2(A67)</f>
        <v>0</v>
      </c>
      <c r="E67" s="63">
        <f>[1]!b_anal_ptmyear(A67,"")</f>
        <v>0</v>
      </c>
      <c r="F67" s="64">
        <f>[1]!b_rate_latestcredit(A67)</f>
        <v>0</v>
      </c>
      <c r="G67" s="63">
        <f>[1]!b_info_issueamount(A67)/100000000</f>
        <v>0</v>
      </c>
      <c r="I67" s="28"/>
      <c r="J67" s="69"/>
      <c r="K67" s="29"/>
      <c r="L67" s="69"/>
      <c r="M67" s="69"/>
      <c r="N67" s="69"/>
      <c r="O67" s="69"/>
      <c r="P67" s="69"/>
      <c r="Q67" s="69"/>
      <c r="R67" s="69"/>
    </row>
    <row r="68" spans="2:18" x14ac:dyDescent="0.25">
      <c r="B68">
        <f>[1]!b_issue_firstissue(A68)</f>
        <v>0</v>
      </c>
      <c r="C68">
        <f>[1]!b_info_name(A68)</f>
        <v>0</v>
      </c>
      <c r="D68" s="63">
        <f>[1]!b_info_couponrate2(A68)</f>
        <v>0</v>
      </c>
      <c r="E68" s="63">
        <f>[1]!b_anal_ptmyear(A68,"")</f>
        <v>0</v>
      </c>
      <c r="F68" s="64">
        <f>[1]!b_rate_latestcredit(A68)</f>
        <v>0</v>
      </c>
      <c r="G68" s="63">
        <f>[1]!b_info_issueamount(A68)/100000000</f>
        <v>0</v>
      </c>
      <c r="I68" s="28"/>
      <c r="J68" s="69"/>
      <c r="K68" s="29"/>
      <c r="L68" s="69"/>
      <c r="M68" s="69"/>
      <c r="N68" s="69"/>
      <c r="O68" s="69"/>
      <c r="P68" s="69"/>
      <c r="Q68" s="69"/>
      <c r="R68" s="69"/>
    </row>
    <row r="69" spans="2:18" x14ac:dyDescent="0.25">
      <c r="B69">
        <f>[1]!b_issue_firstissue(A69)</f>
        <v>0</v>
      </c>
      <c r="C69">
        <f>[1]!b_info_name(A69)</f>
        <v>0</v>
      </c>
      <c r="D69" s="63">
        <f>[1]!b_info_couponrate2(A69)</f>
        <v>0</v>
      </c>
      <c r="E69" s="63">
        <f>[1]!b_anal_ptmyear(A69,"")</f>
        <v>0</v>
      </c>
      <c r="F69" s="64">
        <f>[1]!b_rate_latestcredit(A69)</f>
        <v>0</v>
      </c>
      <c r="G69" s="63">
        <f>[1]!b_info_issueamount(A69)/100000000</f>
        <v>0</v>
      </c>
      <c r="I69" s="28"/>
      <c r="J69" s="69"/>
      <c r="K69" s="29"/>
      <c r="L69" s="69"/>
      <c r="M69" s="69"/>
      <c r="N69" s="69"/>
      <c r="O69" s="69"/>
      <c r="P69" s="69"/>
      <c r="Q69" s="69"/>
      <c r="R69" s="69"/>
    </row>
    <row r="70" spans="2:18" x14ac:dyDescent="0.25">
      <c r="B70">
        <f>[1]!b_issue_firstissue(A70)</f>
        <v>0</v>
      </c>
      <c r="C70">
        <f>[1]!b_info_name(A70)</f>
        <v>0</v>
      </c>
      <c r="D70" s="63">
        <f>[1]!b_info_couponrate2(A70)</f>
        <v>0</v>
      </c>
      <c r="E70" s="63">
        <f>[1]!b_anal_ptmyear(A70,"")</f>
        <v>0</v>
      </c>
      <c r="F70" s="64">
        <f>[1]!b_rate_latestcredit(A70)</f>
        <v>0</v>
      </c>
      <c r="G70" s="63">
        <f>[1]!b_info_issueamount(A70)/100000000</f>
        <v>0</v>
      </c>
      <c r="I70" s="28"/>
      <c r="J70" s="69"/>
      <c r="K70" s="29"/>
      <c r="L70" s="69"/>
      <c r="M70" s="69"/>
      <c r="N70" s="69"/>
      <c r="O70" s="69"/>
      <c r="P70" s="69"/>
      <c r="Q70" s="69"/>
      <c r="R70" s="69"/>
    </row>
    <row r="71" spans="2:18" x14ac:dyDescent="0.25">
      <c r="B71">
        <f>[1]!b_issue_firstissue(A71)</f>
        <v>0</v>
      </c>
      <c r="C71">
        <f>[1]!b_info_name(A71)</f>
        <v>0</v>
      </c>
      <c r="D71" s="63">
        <f>[1]!b_info_couponrate2(A71)</f>
        <v>0</v>
      </c>
      <c r="E71" s="63">
        <f>[1]!b_anal_ptmyear(A71,"")</f>
        <v>0</v>
      </c>
      <c r="F71" s="64">
        <f>[1]!b_rate_latestcredit(A71)</f>
        <v>0</v>
      </c>
      <c r="G71" s="63">
        <f>[1]!b_info_issueamount(A71)/100000000</f>
        <v>0</v>
      </c>
      <c r="I71" s="28"/>
      <c r="J71" s="69"/>
      <c r="K71" s="29"/>
      <c r="L71" s="69"/>
      <c r="M71" s="69"/>
      <c r="N71" s="69"/>
      <c r="O71" s="69"/>
      <c r="P71" s="69"/>
      <c r="Q71" s="69"/>
      <c r="R71" s="69"/>
    </row>
    <row r="72" spans="2:18" x14ac:dyDescent="0.25">
      <c r="B72">
        <f>[1]!b_issue_firstissue(A72)</f>
        <v>0</v>
      </c>
      <c r="C72">
        <f>[1]!b_info_name(A72)</f>
        <v>0</v>
      </c>
      <c r="D72" s="63">
        <f>[1]!b_info_couponrate2(A72)</f>
        <v>0</v>
      </c>
      <c r="E72" s="63">
        <f>[1]!b_anal_ptmyear(A72,"")</f>
        <v>0</v>
      </c>
      <c r="F72" s="64">
        <f>[1]!b_rate_latestcredit(A72)</f>
        <v>0</v>
      </c>
      <c r="G72" s="63">
        <f>[1]!b_info_issueamount(A72)/100000000</f>
        <v>0</v>
      </c>
      <c r="I72" s="28"/>
      <c r="J72" s="69"/>
      <c r="K72" s="29"/>
      <c r="L72" s="69"/>
      <c r="M72" s="69"/>
      <c r="N72" s="69"/>
      <c r="O72" s="69"/>
      <c r="P72" s="69"/>
      <c r="Q72" s="69"/>
      <c r="R72" s="69"/>
    </row>
    <row r="73" spans="2:18" x14ac:dyDescent="0.25">
      <c r="B73">
        <f>[1]!b_issue_firstissue(A73)</f>
        <v>0</v>
      </c>
      <c r="C73">
        <f>[1]!b_info_name(A73)</f>
        <v>0</v>
      </c>
      <c r="D73" s="63">
        <f>[1]!b_info_couponrate2(A73)</f>
        <v>0</v>
      </c>
      <c r="E73" s="63">
        <f>[1]!b_anal_ptmyear(A73,"")</f>
        <v>0</v>
      </c>
      <c r="F73" s="64">
        <f>[1]!b_rate_latestcredit(A73)</f>
        <v>0</v>
      </c>
      <c r="G73" s="63">
        <f>[1]!b_info_issueamount(A73)/100000000</f>
        <v>0</v>
      </c>
      <c r="I73" s="28"/>
      <c r="J73" s="69"/>
      <c r="K73" s="29"/>
      <c r="L73" s="69"/>
      <c r="M73" s="69"/>
      <c r="N73" s="69"/>
      <c r="O73" s="69"/>
      <c r="P73" s="69"/>
      <c r="Q73" s="69"/>
      <c r="R73" s="69"/>
    </row>
    <row r="74" spans="2:18" x14ac:dyDescent="0.25">
      <c r="B74">
        <f>[1]!b_issue_firstissue(A74)</f>
        <v>0</v>
      </c>
      <c r="C74">
        <f>[1]!b_info_name(A74)</f>
        <v>0</v>
      </c>
      <c r="D74" s="63">
        <f>[1]!b_info_couponrate2(A74)</f>
        <v>0</v>
      </c>
      <c r="E74" s="63">
        <f>[1]!b_anal_ptmyear(A74,"")</f>
        <v>0</v>
      </c>
      <c r="F74" s="64">
        <f>[1]!b_rate_latestcredit(A74)</f>
        <v>0</v>
      </c>
      <c r="G74" s="63">
        <f>[1]!b_info_issueamount(A74)/100000000</f>
        <v>0</v>
      </c>
      <c r="I74" s="28"/>
      <c r="J74" s="69"/>
      <c r="K74" s="29"/>
      <c r="L74" s="69"/>
      <c r="M74" s="69"/>
      <c r="N74" s="69"/>
      <c r="O74" s="69"/>
      <c r="P74" s="69"/>
      <c r="Q74" s="69"/>
      <c r="R74" s="69"/>
    </row>
    <row r="75" spans="2:18" x14ac:dyDescent="0.25">
      <c r="B75">
        <f>[1]!b_issue_firstissue(A75)</f>
        <v>0</v>
      </c>
      <c r="C75">
        <f>[1]!b_info_name(A75)</f>
        <v>0</v>
      </c>
      <c r="D75" s="63">
        <f>[1]!b_info_couponrate2(A75)</f>
        <v>0</v>
      </c>
      <c r="E75" s="63">
        <f>[1]!b_anal_ptmyear(A75,"")</f>
        <v>0</v>
      </c>
      <c r="F75" s="64">
        <f>[1]!b_rate_latestcredit(A75)</f>
        <v>0</v>
      </c>
      <c r="G75" s="63">
        <f>[1]!b_info_issueamount(A75)/100000000</f>
        <v>0</v>
      </c>
      <c r="I75" s="28"/>
      <c r="J75" s="69"/>
      <c r="K75" s="29"/>
      <c r="L75" s="69"/>
      <c r="M75" s="69"/>
      <c r="N75" s="69"/>
      <c r="O75" s="69"/>
      <c r="P75" s="69"/>
      <c r="Q75" s="69"/>
      <c r="R75" s="69"/>
    </row>
    <row r="76" spans="2:18" x14ac:dyDescent="0.25">
      <c r="B76">
        <f>[1]!b_issue_firstissue(A76)</f>
        <v>0</v>
      </c>
      <c r="C76">
        <f>[1]!b_info_name(A76)</f>
        <v>0</v>
      </c>
      <c r="D76" s="63">
        <f>[1]!b_info_couponrate2(A76)</f>
        <v>0</v>
      </c>
      <c r="E76" s="63">
        <f>[1]!b_anal_ptmyear(A76,"")</f>
        <v>0</v>
      </c>
      <c r="F76" s="64">
        <f>[1]!b_rate_latestcredit(A76)</f>
        <v>0</v>
      </c>
      <c r="G76" s="63">
        <f>[1]!b_info_issueamount(A76)/100000000</f>
        <v>0</v>
      </c>
      <c r="I76" s="28"/>
      <c r="J76" s="69"/>
      <c r="K76" s="29"/>
      <c r="L76" s="69"/>
      <c r="M76" s="69"/>
      <c r="N76" s="69"/>
      <c r="O76" s="69"/>
      <c r="P76" s="69"/>
      <c r="Q76" s="69"/>
      <c r="R76" s="69"/>
    </row>
    <row r="77" spans="2:18" x14ac:dyDescent="0.25">
      <c r="B77">
        <f>[1]!b_issue_firstissue(A77)</f>
        <v>0</v>
      </c>
      <c r="C77">
        <f>[1]!b_info_name(A77)</f>
        <v>0</v>
      </c>
      <c r="D77" s="63">
        <f>[1]!b_info_couponrate2(A77)</f>
        <v>0</v>
      </c>
      <c r="E77" s="63">
        <f>[1]!b_anal_ptmyear(A77,"")</f>
        <v>0</v>
      </c>
      <c r="F77" s="64">
        <f>[1]!b_rate_latestcredit(A77)</f>
        <v>0</v>
      </c>
      <c r="G77" s="63">
        <f>[1]!b_info_issueamount(A77)/100000000</f>
        <v>0</v>
      </c>
      <c r="I77" s="28"/>
      <c r="J77" s="69"/>
      <c r="K77" s="29"/>
      <c r="L77" s="69"/>
      <c r="M77" s="69"/>
      <c r="N77" s="69"/>
      <c r="O77" s="69"/>
      <c r="P77" s="69"/>
      <c r="Q77" s="69"/>
      <c r="R77" s="69"/>
    </row>
    <row r="78" spans="2:18" x14ac:dyDescent="0.25">
      <c r="B78">
        <f>[1]!b_issue_firstissue(A78)</f>
        <v>0</v>
      </c>
      <c r="C78">
        <f>[1]!b_info_name(A78)</f>
        <v>0</v>
      </c>
      <c r="D78" s="63">
        <f>[1]!b_info_couponrate2(A78)</f>
        <v>0</v>
      </c>
      <c r="E78" s="63">
        <f>[1]!b_anal_ptmyear(A78,"")</f>
        <v>0</v>
      </c>
      <c r="F78" s="64">
        <f>[1]!b_rate_latestcredit(A78)</f>
        <v>0</v>
      </c>
      <c r="G78" s="63">
        <f>[1]!b_info_issueamount(A78)/100000000</f>
        <v>0</v>
      </c>
      <c r="I78" s="28"/>
      <c r="J78" s="69"/>
      <c r="K78" s="29"/>
      <c r="L78" s="69"/>
      <c r="M78" s="69"/>
      <c r="N78" s="69"/>
      <c r="O78" s="69"/>
      <c r="P78" s="69"/>
      <c r="Q78" s="69"/>
      <c r="R78" s="69"/>
    </row>
    <row r="79" spans="2:18" x14ac:dyDescent="0.25">
      <c r="B79">
        <f>[1]!b_issue_firstissue(A79)</f>
        <v>0</v>
      </c>
      <c r="C79">
        <f>[1]!b_info_name(A79)</f>
        <v>0</v>
      </c>
      <c r="D79" s="63">
        <f>[1]!b_info_couponrate2(A79)</f>
        <v>0</v>
      </c>
      <c r="E79" s="63">
        <f>[1]!b_anal_ptmyear(A79,"")</f>
        <v>0</v>
      </c>
      <c r="F79" s="64">
        <f>[1]!b_rate_latestcredit(A79)</f>
        <v>0</v>
      </c>
      <c r="G79" s="63">
        <f>[1]!b_info_issueamount(A79)/100000000</f>
        <v>0</v>
      </c>
      <c r="I79" s="28"/>
      <c r="J79" s="69"/>
      <c r="K79" s="29"/>
      <c r="L79" s="69"/>
      <c r="M79" s="69"/>
      <c r="N79" s="69"/>
      <c r="O79" s="69"/>
      <c r="P79" s="69"/>
      <c r="Q79" s="69"/>
      <c r="R79" s="69"/>
    </row>
    <row r="80" spans="2:18" x14ac:dyDescent="0.25">
      <c r="B80">
        <f>[1]!b_issue_firstissue(A80)</f>
        <v>0</v>
      </c>
      <c r="C80">
        <f>[1]!b_info_name(A80)</f>
        <v>0</v>
      </c>
      <c r="D80" s="63">
        <f>[1]!b_info_couponrate2(A80)</f>
        <v>0</v>
      </c>
      <c r="E80" s="63">
        <f>[1]!b_anal_ptmyear(A80,"")</f>
        <v>0</v>
      </c>
      <c r="F80" s="64">
        <f>[1]!b_rate_latestcredit(A80)</f>
        <v>0</v>
      </c>
      <c r="G80" s="63">
        <f>[1]!b_info_issueamount(A80)/100000000</f>
        <v>0</v>
      </c>
      <c r="I80" s="28"/>
      <c r="J80" s="69"/>
      <c r="K80" s="29"/>
      <c r="L80" s="69"/>
      <c r="M80" s="69"/>
      <c r="N80" s="69"/>
      <c r="O80" s="69"/>
      <c r="P80" s="69"/>
      <c r="Q80" s="69"/>
      <c r="R80" s="69"/>
    </row>
    <row r="81" spans="2:18" x14ac:dyDescent="0.25">
      <c r="B81">
        <f>[1]!b_issue_firstissue(A81)</f>
        <v>0</v>
      </c>
      <c r="C81">
        <f>[1]!b_info_name(A81)</f>
        <v>0</v>
      </c>
      <c r="D81" s="63">
        <f>[1]!b_info_couponrate2(A81)</f>
        <v>0</v>
      </c>
      <c r="E81" s="63">
        <f>[1]!b_anal_ptmyear(A81,"")</f>
        <v>0</v>
      </c>
      <c r="F81" s="64">
        <f>[1]!b_rate_latestcredit(A81)</f>
        <v>0</v>
      </c>
      <c r="G81" s="63">
        <f>[1]!b_info_issueamount(A81)/100000000</f>
        <v>0</v>
      </c>
      <c r="I81" s="28"/>
      <c r="J81" s="69"/>
      <c r="K81" s="29"/>
      <c r="L81" s="69"/>
      <c r="M81" s="69"/>
      <c r="N81" s="69"/>
      <c r="O81" s="69"/>
      <c r="P81" s="69"/>
      <c r="Q81" s="69"/>
      <c r="R81" s="69"/>
    </row>
    <row r="82" spans="2:18" x14ac:dyDescent="0.25">
      <c r="B82">
        <f>[1]!b_issue_firstissue(A82)</f>
        <v>0</v>
      </c>
      <c r="C82">
        <f>[1]!b_info_name(A82)</f>
        <v>0</v>
      </c>
      <c r="D82" s="63">
        <f>[1]!b_info_couponrate2(A82)</f>
        <v>0</v>
      </c>
      <c r="E82" s="63">
        <f>[1]!b_anal_ptmyear(A82,"")</f>
        <v>0</v>
      </c>
      <c r="F82" s="64">
        <f>[1]!b_rate_latestcredit(A82)</f>
        <v>0</v>
      </c>
      <c r="G82" s="63">
        <f>[1]!b_info_issueamount(A82)/100000000</f>
        <v>0</v>
      </c>
      <c r="I82" s="28"/>
      <c r="J82" s="69"/>
      <c r="K82" s="29"/>
      <c r="L82" s="69"/>
      <c r="M82" s="69"/>
      <c r="N82" s="69"/>
      <c r="O82" s="69"/>
      <c r="P82" s="69"/>
      <c r="Q82" s="69"/>
      <c r="R82" s="69"/>
    </row>
    <row r="83" spans="2:18" x14ac:dyDescent="0.25">
      <c r="B83">
        <f>[1]!b_issue_firstissue(A83)</f>
        <v>0</v>
      </c>
      <c r="C83">
        <f>[1]!b_info_name(A83)</f>
        <v>0</v>
      </c>
      <c r="D83" s="63">
        <f>[1]!b_info_couponrate2(A83)</f>
        <v>0</v>
      </c>
      <c r="E83" s="63">
        <f>[1]!b_anal_ptmyear(A83,"")</f>
        <v>0</v>
      </c>
      <c r="F83" s="64">
        <f>[1]!b_rate_latestcredit(A83)</f>
        <v>0</v>
      </c>
      <c r="G83" s="63">
        <f>[1]!b_info_issueamount(A83)/100000000</f>
        <v>0</v>
      </c>
      <c r="I83" s="28"/>
      <c r="J83" s="69"/>
      <c r="K83" s="29"/>
      <c r="L83" s="69"/>
      <c r="M83" s="69"/>
      <c r="N83" s="69"/>
      <c r="O83" s="69"/>
      <c r="P83" s="69"/>
      <c r="Q83" s="69"/>
      <c r="R83" s="69"/>
    </row>
    <row r="84" spans="2:18" x14ac:dyDescent="0.25">
      <c r="B84">
        <f>[1]!b_issue_firstissue(A84)</f>
        <v>0</v>
      </c>
      <c r="C84">
        <f>[1]!b_info_name(A84)</f>
        <v>0</v>
      </c>
      <c r="D84" s="63">
        <f>[1]!b_info_couponrate2(A84)</f>
        <v>0</v>
      </c>
      <c r="E84" s="63">
        <f>[1]!b_anal_ptmyear(A84,"")</f>
        <v>0</v>
      </c>
      <c r="F84" s="64">
        <f>[1]!b_rate_latestcredit(A84)</f>
        <v>0</v>
      </c>
      <c r="G84" s="63">
        <f>[1]!b_info_issueamount(A84)/100000000</f>
        <v>0</v>
      </c>
      <c r="I84" s="28"/>
      <c r="J84" s="69"/>
      <c r="K84" s="29"/>
      <c r="L84" s="69"/>
      <c r="M84" s="69"/>
      <c r="N84" s="69"/>
      <c r="O84" s="69"/>
      <c r="P84" s="69"/>
      <c r="Q84" s="69"/>
      <c r="R84" s="69"/>
    </row>
    <row r="85" spans="2:18" x14ac:dyDescent="0.25">
      <c r="B85">
        <f>[1]!b_issue_firstissue(A85)</f>
        <v>0</v>
      </c>
      <c r="C85">
        <f>[1]!b_info_name(A85)</f>
        <v>0</v>
      </c>
      <c r="D85" s="63">
        <f>[1]!b_info_couponrate2(A85)</f>
        <v>0</v>
      </c>
      <c r="E85" s="63">
        <f>[1]!b_anal_ptmyear(A85,"")</f>
        <v>0</v>
      </c>
      <c r="F85" s="64">
        <f>[1]!b_rate_latestcredit(A85)</f>
        <v>0</v>
      </c>
      <c r="G85" s="63">
        <f>[1]!b_info_issueamount(A85)/100000000</f>
        <v>0</v>
      </c>
      <c r="I85" s="28"/>
      <c r="J85" s="69"/>
      <c r="K85" s="29"/>
      <c r="L85" s="69"/>
      <c r="M85" s="69"/>
      <c r="N85" s="69"/>
      <c r="O85" s="69"/>
      <c r="P85" s="69"/>
      <c r="Q85" s="69"/>
      <c r="R85" s="69"/>
    </row>
    <row r="86" spans="2:18" x14ac:dyDescent="0.25">
      <c r="B86">
        <f>[1]!b_issue_firstissue(A86)</f>
        <v>0</v>
      </c>
      <c r="C86">
        <f>[1]!b_info_name(A86)</f>
        <v>0</v>
      </c>
      <c r="D86" s="63">
        <f>[1]!b_info_couponrate2(A86)</f>
        <v>0</v>
      </c>
      <c r="E86" s="63">
        <f>[1]!b_anal_ptmyear(A86,"")</f>
        <v>0</v>
      </c>
      <c r="F86" s="64">
        <f>[1]!b_rate_latestcredit(A86)</f>
        <v>0</v>
      </c>
      <c r="G86" s="63">
        <f>[1]!b_info_issueamount(A86)/100000000</f>
        <v>0</v>
      </c>
      <c r="I86" s="28"/>
      <c r="J86" s="69"/>
      <c r="K86" s="29"/>
      <c r="L86" s="69"/>
      <c r="M86" s="69"/>
      <c r="N86" s="69"/>
      <c r="O86" s="69"/>
      <c r="P86" s="69"/>
      <c r="Q86" s="69"/>
      <c r="R86" s="69"/>
    </row>
    <row r="87" spans="2:18" x14ac:dyDescent="0.25">
      <c r="B87">
        <f>[1]!b_issue_firstissue(A87)</f>
        <v>0</v>
      </c>
      <c r="C87">
        <f>[1]!b_info_name(A87)</f>
        <v>0</v>
      </c>
      <c r="D87" s="63">
        <f>[1]!b_info_couponrate2(A87)</f>
        <v>0</v>
      </c>
      <c r="E87" s="63">
        <f>[1]!b_anal_ptmyear(A87,"")</f>
        <v>0</v>
      </c>
      <c r="F87" s="64">
        <f>[1]!b_rate_latestcredit(A87)</f>
        <v>0</v>
      </c>
      <c r="G87" s="63">
        <f>[1]!b_info_issueamount(A87)/100000000</f>
        <v>0</v>
      </c>
      <c r="I87" s="28"/>
      <c r="J87" s="69"/>
      <c r="K87" s="29"/>
      <c r="L87" s="69"/>
      <c r="M87" s="69"/>
      <c r="N87" s="69"/>
      <c r="O87" s="69"/>
      <c r="P87" s="69"/>
      <c r="Q87" s="69"/>
      <c r="R87" s="69"/>
    </row>
    <row r="88" spans="2:18" x14ac:dyDescent="0.25">
      <c r="B88">
        <f>[1]!b_issue_firstissue(A88)</f>
        <v>0</v>
      </c>
      <c r="C88">
        <f>[1]!b_info_name(A88)</f>
        <v>0</v>
      </c>
      <c r="D88" s="63">
        <f>[1]!b_info_couponrate2(A88)</f>
        <v>0</v>
      </c>
      <c r="E88" s="63">
        <f>[1]!b_anal_ptmyear(A88,"")</f>
        <v>0</v>
      </c>
      <c r="F88" s="64">
        <f>[1]!b_rate_latestcredit(A88)</f>
        <v>0</v>
      </c>
      <c r="G88" s="63">
        <f>[1]!b_info_issueamount(A88)/100000000</f>
        <v>0</v>
      </c>
      <c r="I88" s="28"/>
      <c r="J88" s="69"/>
      <c r="K88" s="29"/>
      <c r="L88" s="69"/>
      <c r="M88" s="69"/>
      <c r="N88" s="69"/>
      <c r="O88" s="69"/>
      <c r="P88" s="69"/>
      <c r="Q88" s="69"/>
      <c r="R88" s="69"/>
    </row>
    <row r="89" spans="2:18" x14ac:dyDescent="0.25">
      <c r="B89">
        <f>[1]!b_issue_firstissue(A89)</f>
        <v>0</v>
      </c>
      <c r="C89">
        <f>[1]!b_info_name(A89)</f>
        <v>0</v>
      </c>
      <c r="D89" s="63">
        <f>[1]!b_info_couponrate2(A89)</f>
        <v>0</v>
      </c>
      <c r="E89" s="63">
        <f>[1]!b_anal_ptmyear(A89,"")</f>
        <v>0</v>
      </c>
      <c r="F89" s="64">
        <f>[1]!b_rate_latestcredit(A89)</f>
        <v>0</v>
      </c>
      <c r="G89" s="63">
        <f>[1]!b_info_issueamount(A89)/100000000</f>
        <v>0</v>
      </c>
      <c r="I89" s="28"/>
      <c r="J89" s="69"/>
      <c r="K89" s="29"/>
      <c r="L89" s="69"/>
      <c r="M89" s="69"/>
      <c r="N89" s="69"/>
      <c r="O89" s="69"/>
      <c r="P89" s="69"/>
      <c r="Q89" s="69"/>
      <c r="R89" s="69"/>
    </row>
    <row r="90" spans="2:18" x14ac:dyDescent="0.25">
      <c r="B90">
        <f>[1]!b_issue_firstissue(A90)</f>
        <v>0</v>
      </c>
      <c r="C90">
        <f>[1]!b_info_name(A90)</f>
        <v>0</v>
      </c>
      <c r="D90" s="63">
        <f>[1]!b_info_couponrate2(A90)</f>
        <v>0</v>
      </c>
      <c r="E90" s="63">
        <f>[1]!b_anal_ptmyear(A90,"")</f>
        <v>0</v>
      </c>
      <c r="F90" s="64">
        <f>[1]!b_rate_latestcredit(A90)</f>
        <v>0</v>
      </c>
      <c r="G90" s="63">
        <f>[1]!b_info_issueamount(A90)/100000000</f>
        <v>0</v>
      </c>
      <c r="I90" s="17"/>
      <c r="J90" s="17"/>
    </row>
    <row r="91" spans="2:18" x14ac:dyDescent="0.25">
      <c r="B91">
        <f>[1]!b_issue_firstissue(A91)</f>
        <v>0</v>
      </c>
      <c r="C91">
        <f>[1]!b_info_name(A91)</f>
        <v>0</v>
      </c>
      <c r="D91" s="63">
        <f>[1]!b_info_couponrate2(A91)</f>
        <v>0</v>
      </c>
      <c r="E91" s="63">
        <f>[1]!b_anal_ptmyear(A91,"")</f>
        <v>0</v>
      </c>
      <c r="F91" s="64">
        <f>[1]!b_rate_latestcredit(A91)</f>
        <v>0</v>
      </c>
      <c r="G91" s="63">
        <f>[1]!b_info_issueamount(A91)/100000000</f>
        <v>0</v>
      </c>
      <c r="I91" s="17"/>
    </row>
    <row r="92" spans="2:18" x14ac:dyDescent="0.25">
      <c r="B92">
        <f>[1]!b_issue_firstissue(A92)</f>
        <v>0</v>
      </c>
      <c r="C92">
        <f>[1]!b_info_name(A92)</f>
        <v>0</v>
      </c>
      <c r="D92" s="63">
        <f>[1]!b_info_couponrate2(A92)</f>
        <v>0</v>
      </c>
      <c r="E92" s="63">
        <f>[1]!b_anal_ptmyear(A92,"")</f>
        <v>0</v>
      </c>
      <c r="F92" s="64">
        <f>[1]!b_rate_latestcredit(A92)</f>
        <v>0</v>
      </c>
      <c r="G92" s="63">
        <f>[1]!b_info_issueamount(A92)/100000000</f>
        <v>0</v>
      </c>
      <c r="I92" s="17"/>
    </row>
    <row r="93" spans="2:18" x14ac:dyDescent="0.25">
      <c r="B93">
        <f>[1]!b_issue_firstissue(A93)</f>
        <v>0</v>
      </c>
      <c r="C93">
        <f>[1]!b_info_name(A93)</f>
        <v>0</v>
      </c>
      <c r="D93" s="63">
        <f>[1]!b_info_couponrate2(A93)</f>
        <v>0</v>
      </c>
      <c r="E93" s="63">
        <f>[1]!b_anal_ptmyear(A93,"")</f>
        <v>0</v>
      </c>
      <c r="F93" s="64">
        <f>[1]!b_rate_latestcredit(A93)</f>
        <v>0</v>
      </c>
      <c r="G93" s="63">
        <f>[1]!b_info_issueamount(A93)/100000000</f>
        <v>0</v>
      </c>
      <c r="I93" s="17"/>
    </row>
    <row r="94" spans="2:18" x14ac:dyDescent="0.25">
      <c r="B94">
        <f>[1]!b_issue_firstissue(A94)</f>
        <v>0</v>
      </c>
      <c r="C94">
        <f>[1]!b_info_name(A94)</f>
        <v>0</v>
      </c>
      <c r="D94" s="63">
        <f>[1]!b_info_couponrate2(A94)</f>
        <v>0</v>
      </c>
      <c r="E94" s="63">
        <f>[1]!b_anal_ptmyear(A94,"")</f>
        <v>0</v>
      </c>
      <c r="F94" s="64">
        <f>[1]!b_rate_latestcredit(A94)</f>
        <v>0</v>
      </c>
      <c r="G94" s="63">
        <f>[1]!b_info_issueamount(A94)/100000000</f>
        <v>0</v>
      </c>
      <c r="I94" s="17"/>
    </row>
    <row r="95" spans="2:18" x14ac:dyDescent="0.25">
      <c r="B95">
        <f>[1]!b_issue_firstissue(A95)</f>
        <v>0</v>
      </c>
      <c r="C95">
        <f>[1]!b_info_name(A95)</f>
        <v>0</v>
      </c>
      <c r="D95" s="63">
        <f>[1]!b_info_couponrate2(A95)</f>
        <v>0</v>
      </c>
      <c r="E95" s="63">
        <f>[1]!b_anal_ptmyear(A95,"")</f>
        <v>0</v>
      </c>
      <c r="F95" s="64">
        <f>[1]!b_rate_latestcredit(A95)</f>
        <v>0</v>
      </c>
      <c r="G95" s="63">
        <f>[1]!b_info_issueamount(A95)/100000000</f>
        <v>0</v>
      </c>
      <c r="I95" s="17"/>
      <c r="J95" s="17"/>
    </row>
    <row r="96" spans="2:18" x14ac:dyDescent="0.25">
      <c r="B96">
        <f>[1]!b_issue_firstissue(A96)</f>
        <v>0</v>
      </c>
      <c r="C96">
        <f>[1]!b_info_name(A96)</f>
        <v>0</v>
      </c>
      <c r="D96" s="63">
        <f>[1]!b_info_couponrate2(A96)</f>
        <v>0</v>
      </c>
      <c r="E96" s="63">
        <f>[1]!b_anal_ptmyear(A96,"")</f>
        <v>0</v>
      </c>
      <c r="F96" s="64">
        <f>[1]!b_rate_latestcredit(A96)</f>
        <v>0</v>
      </c>
      <c r="G96" s="63">
        <f>[1]!b_info_issueamount(A96)/100000000</f>
        <v>0</v>
      </c>
      <c r="I96" s="17" t="s">
        <v>47</v>
      </c>
      <c r="J96" s="70">
        <f>[1]!b_stm07_bs(J14,75,J13,1)</f>
        <v>16768080000</v>
      </c>
      <c r="K96" s="70"/>
      <c r="L96" s="70">
        <f>[1]!b_stm07_bs(L14,75,L13,1)</f>
        <v>1831743000</v>
      </c>
      <c r="M96" s="70">
        <f>[1]!b_stm07_bs(M14,75,M13,1)</f>
        <v>16108858651.309999</v>
      </c>
      <c r="N96" s="70">
        <f>[1]!b_stm07_bs(N14,75,N13,1)</f>
        <v>11275600000</v>
      </c>
      <c r="O96" s="70">
        <f>[1]!b_stm07_bs(O14,75,O13,1)</f>
        <v>16768080000</v>
      </c>
      <c r="P96" s="70">
        <f>[1]!b_stm07_bs(P14,75,P13,1)</f>
        <v>8007777398.8999996</v>
      </c>
      <c r="Q96" s="70">
        <f>[1]!b_stm07_bs(Q14,75,Q13,1)</f>
        <v>1013093000</v>
      </c>
      <c r="R96" s="70">
        <f>[1]!b_stm07_bs(R14,75,R13,1)</f>
        <v>375000000</v>
      </c>
    </row>
    <row r="97" spans="1:19" x14ac:dyDescent="0.25">
      <c r="B97">
        <f>[1]!b_issue_firstissue(A97)</f>
        <v>0</v>
      </c>
      <c r="C97">
        <f>[1]!b_info_name(A97)</f>
        <v>0</v>
      </c>
      <c r="D97" s="63">
        <f>[1]!b_info_couponrate2(A97)</f>
        <v>0</v>
      </c>
      <c r="E97" s="63">
        <f>[1]!b_anal_ptmyear(A97,"")</f>
        <v>0</v>
      </c>
      <c r="F97" s="64">
        <f>[1]!b_rate_latestcredit(A97)</f>
        <v>0</v>
      </c>
      <c r="G97" s="63">
        <f>[1]!b_info_issueamount(A97)/100000000</f>
        <v>0</v>
      </c>
      <c r="I97" s="17" t="s">
        <v>48</v>
      </c>
      <c r="J97" s="70">
        <f>[1]!b_stm07_bs(J14,82,J13,1)</f>
        <v>660618583.03999996</v>
      </c>
      <c r="K97" s="70"/>
      <c r="L97" s="70">
        <f>[1]!b_stm07_bs(L14,82,L13,1)</f>
        <v>612032000</v>
      </c>
      <c r="M97" s="70">
        <f>[1]!b_stm07_bs(M14,82,M13,1)</f>
        <v>995144331.40999997</v>
      </c>
      <c r="N97" s="70">
        <f>[1]!b_stm07_bs(N14,82,N13,1)</f>
        <v>164833185.31</v>
      </c>
      <c r="O97" s="70">
        <f>[1]!b_stm07_bs(O14,82,O13,1)</f>
        <v>660618583.03999996</v>
      </c>
      <c r="P97" s="70">
        <f>[1]!b_stm07_bs(P14,82,P13,1)</f>
        <v>577456677.95000005</v>
      </c>
      <c r="Q97" s="70">
        <f>[1]!b_stm07_bs(Q14,82,Q13,1)</f>
        <v>536155790.07999998</v>
      </c>
      <c r="R97" s="70">
        <f>[1]!b_stm07_bs(R14,82,R13,1)</f>
        <v>2162569.44</v>
      </c>
    </row>
    <row r="98" spans="1:19" x14ac:dyDescent="0.25">
      <c r="B98">
        <f>[1]!b_issue_firstissue(A98)</f>
        <v>0</v>
      </c>
      <c r="C98">
        <f>[1]!b_info_name(A98)</f>
        <v>0</v>
      </c>
      <c r="D98" s="63">
        <f>[1]!b_info_couponrate2(A98)</f>
        <v>0</v>
      </c>
      <c r="E98" s="63">
        <f>[1]!b_anal_ptmyear(A98,"")</f>
        <v>0</v>
      </c>
      <c r="F98" s="64">
        <f>[1]!b_rate_latestcredit(A98)</f>
        <v>0</v>
      </c>
      <c r="G98" s="63">
        <f>[1]!b_info_issueamount(A98)/100000000</f>
        <v>0</v>
      </c>
      <c r="I98" s="17" t="s">
        <v>49</v>
      </c>
      <c r="J98" s="70">
        <f>[1]!b_stm07_bs(J14,88,J13,1)</f>
        <v>13612760580.48</v>
      </c>
      <c r="K98" s="70"/>
      <c r="L98" s="70">
        <f>[1]!b_stm07_bs(L14,88,L13,1)</f>
        <v>23793041000</v>
      </c>
      <c r="M98" s="70">
        <f>[1]!b_stm07_bs(M14,88,M13,1)</f>
        <v>46163837744.75</v>
      </c>
      <c r="N98" s="70">
        <f>[1]!b_stm07_bs(N14,88,N13,1)</f>
        <v>647000000</v>
      </c>
      <c r="O98" s="70">
        <f>[1]!b_stm07_bs(O14,88,O13,1)</f>
        <v>13612760580.48</v>
      </c>
      <c r="P98" s="70">
        <f>[1]!b_stm07_bs(P14,88,P13,1)</f>
        <v>10462895830.290001</v>
      </c>
      <c r="Q98" s="70">
        <f>[1]!b_stm07_bs(Q14,88,Q13,1)</f>
        <v>20927193548.970001</v>
      </c>
      <c r="R98" s="70">
        <f>[1]!b_stm07_bs(R14,88,R13,1)</f>
        <v>8772166000</v>
      </c>
    </row>
    <row r="99" spans="1:19" x14ac:dyDescent="0.25">
      <c r="B99">
        <f>[1]!b_issue_firstissue(A99)</f>
        <v>0</v>
      </c>
      <c r="C99">
        <f>[1]!b_info_name(A99)</f>
        <v>0</v>
      </c>
      <c r="D99" s="63">
        <f>[1]!b_info_couponrate2(A99)</f>
        <v>0</v>
      </c>
      <c r="E99" s="63">
        <f>[1]!b_anal_ptmyear(A99,"")</f>
        <v>0</v>
      </c>
      <c r="F99" s="64">
        <f>[1]!b_rate_latestcredit(A99)</f>
        <v>0</v>
      </c>
      <c r="G99" s="63">
        <f>[1]!b_info_issueamount(A99)/100000000</f>
        <v>0</v>
      </c>
      <c r="I99" s="17" t="s">
        <v>50</v>
      </c>
      <c r="J99" s="70">
        <f>[1]!b_stm07_bs(J14,147,J13,1)</f>
        <v>0</v>
      </c>
      <c r="K99" s="70"/>
      <c r="L99" s="70">
        <f>[1]!b_stm07_bs(L14,147,L13,1)</f>
        <v>0</v>
      </c>
      <c r="M99" s="70">
        <f>[1]!b_stm07_bs(M14,147,M13,1)</f>
        <v>0</v>
      </c>
      <c r="N99" s="70">
        <f>[1]!b_stm07_bs(N14,147,N13,1)</f>
        <v>0</v>
      </c>
      <c r="O99" s="70">
        <f>[1]!b_stm07_bs(O14,147,O13,1)</f>
        <v>0</v>
      </c>
      <c r="P99" s="70">
        <f>[1]!b_stm07_bs(P14,147,P13,1)</f>
        <v>0</v>
      </c>
      <c r="Q99" s="70">
        <f>[1]!b_stm07_bs(Q14,147,Q13,1)</f>
        <v>0</v>
      </c>
      <c r="R99" s="70">
        <f>[1]!b_stm07_bs(R14,147,R13,1)</f>
        <v>0</v>
      </c>
    </row>
    <row r="100" spans="1:19" x14ac:dyDescent="0.25">
      <c r="B100">
        <f>[1]!b_issue_firstissue(A100)</f>
        <v>0</v>
      </c>
      <c r="C100">
        <f>[1]!b_info_name(A100)</f>
        <v>0</v>
      </c>
      <c r="D100" s="63">
        <f>[1]!b_info_couponrate2(A100)</f>
        <v>0</v>
      </c>
      <c r="E100" s="63">
        <f>[1]!b_anal_ptmyear(A100,"")</f>
        <v>0</v>
      </c>
      <c r="F100" s="64">
        <f>[1]!b_rate_latestcredit(A100)</f>
        <v>0</v>
      </c>
      <c r="G100" s="63">
        <f>[1]!b_info_issueamount(A100)/100000000</f>
        <v>0</v>
      </c>
      <c r="I100" s="17" t="s">
        <v>51</v>
      </c>
      <c r="J100" s="70">
        <f>[1]!b_stm07_bs(J14,94,J13,1)</f>
        <v>60696558839.720001</v>
      </c>
      <c r="K100" s="70"/>
      <c r="L100" s="70">
        <f>[1]!b_stm07_bs(L14,94,L13,1)</f>
        <v>22072547000</v>
      </c>
      <c r="M100" s="70">
        <f>[1]!b_stm07_bs(M14,94,M13,1)</f>
        <v>96029044735.039993</v>
      </c>
      <c r="N100" s="70">
        <f>[1]!b_stm07_bs(N14,94,N13,1)</f>
        <v>11580291309.57</v>
      </c>
      <c r="O100" s="70">
        <f>[1]!b_stm07_bs(O14,94,O13,1)</f>
        <v>60696558839.720001</v>
      </c>
      <c r="P100" s="70">
        <f>[1]!b_stm07_bs(P14,94,P13,1)</f>
        <v>31748476853.830002</v>
      </c>
      <c r="Q100" s="70">
        <f>[1]!b_stm07_bs(Q14,94,Q13,1)</f>
        <v>58261433605.639999</v>
      </c>
      <c r="R100" s="70">
        <f>[1]!b_stm07_bs(R14,94,R13,1)</f>
        <v>27683180000</v>
      </c>
    </row>
    <row r="101" spans="1:19" x14ac:dyDescent="0.25">
      <c r="B101">
        <f>[1]!b_issue_firstissue(A101)</f>
        <v>0</v>
      </c>
      <c r="C101">
        <f>[1]!b_info_name(A101)</f>
        <v>0</v>
      </c>
      <c r="D101" s="63">
        <f>[1]!b_info_couponrate2(A101)</f>
        <v>0</v>
      </c>
      <c r="E101" s="63">
        <f>[1]!b_anal_ptmyear(A101,"")</f>
        <v>0</v>
      </c>
      <c r="F101" s="64">
        <f>[1]!b_rate_latestcredit(A101)</f>
        <v>0</v>
      </c>
      <c r="G101" s="63">
        <f>[1]!b_info_issueamount(A101)/100000000</f>
        <v>0</v>
      </c>
      <c r="I101" s="17" t="s">
        <v>52</v>
      </c>
      <c r="J101" s="70">
        <f>[1]!b_stm07_bs(J14,95,J13,1)</f>
        <v>8397753667.0600004</v>
      </c>
      <c r="K101" s="70"/>
      <c r="L101" s="70">
        <f>[1]!b_stm07_bs(L14,95,L13,1)</f>
        <v>12451547000</v>
      </c>
      <c r="M101" s="70">
        <f>[1]!b_stm07_bs(M14,95,M13,1)</f>
        <v>32322671927.209999</v>
      </c>
      <c r="N101" s="70">
        <f>[1]!b_stm07_bs(N14,95,N13,1)</f>
        <v>5100000000</v>
      </c>
      <c r="O101" s="70">
        <f>[1]!b_stm07_bs(O14,95,O13,1)</f>
        <v>8397753667.0600004</v>
      </c>
      <c r="P101" s="70">
        <f>[1]!b_stm07_bs(P14,95,P13,1)</f>
        <v>9941959964.5400009</v>
      </c>
      <c r="Q101" s="70">
        <f>[1]!b_stm07_bs(Q14,95,Q13,1)</f>
        <v>30643395268.830002</v>
      </c>
      <c r="R101" s="70">
        <f>[1]!b_stm07_bs(R14,95,R13,1)</f>
        <v>26787752811.450001</v>
      </c>
    </row>
    <row r="102" spans="1:19" x14ac:dyDescent="0.25">
      <c r="B102">
        <f>[1]!b_issue_firstissue(A102)</f>
        <v>0</v>
      </c>
      <c r="C102">
        <f>[1]!b_info_name(A102)</f>
        <v>0</v>
      </c>
      <c r="D102" s="63">
        <f>[1]!b_info_couponrate2(A102)</f>
        <v>0</v>
      </c>
      <c r="E102" s="63">
        <f>[1]!b_anal_ptmyear(A102,"")</f>
        <v>0</v>
      </c>
      <c r="F102" s="64">
        <f>[1]!b_rate_latestcredit(A102)</f>
        <v>0</v>
      </c>
      <c r="G102" s="63">
        <f>[1]!b_info_issueamount(A102)/100000000</f>
        <v>0</v>
      </c>
      <c r="I102" s="17"/>
      <c r="J102" s="17"/>
      <c r="K102" s="17"/>
      <c r="L102" s="17"/>
      <c r="M102" s="17"/>
      <c r="N102" s="17"/>
      <c r="O102" s="17"/>
      <c r="P102" s="17"/>
      <c r="Q102" s="17"/>
      <c r="R102" s="17"/>
    </row>
    <row r="103" spans="1:19" x14ac:dyDescent="0.25">
      <c r="I103" s="17" t="s">
        <v>53</v>
      </c>
      <c r="J103" s="70">
        <f>[1]!b_stm07_bs(J14,141,J13,1)</f>
        <v>92782709726.970001</v>
      </c>
      <c r="K103" s="70"/>
      <c r="L103" s="70">
        <f>[1]!b_stm07_bs(L14,141,L13,1)</f>
        <v>31931533000</v>
      </c>
      <c r="M103" s="70">
        <f>[1]!b_stm07_bs(M14,141,M13,1)</f>
        <v>186673939158.29001</v>
      </c>
      <c r="N103" s="70">
        <f>[1]!b_stm07_bs(N14,141,N13,1)</f>
        <v>20204298506.470001</v>
      </c>
      <c r="O103" s="70">
        <f>[1]!b_stm07_bs(O14,141,O13,1)</f>
        <v>92782709726.970001</v>
      </c>
      <c r="P103" s="70">
        <f>[1]!b_stm07_bs(P14,141,P13,1)</f>
        <v>86237841282.649994</v>
      </c>
      <c r="Q103" s="70">
        <f>[1]!b_stm07_bs(Q14,141,Q13,1)</f>
        <v>55458800065.230003</v>
      </c>
      <c r="R103" s="70">
        <f>[1]!b_stm07_bs(R14,141,R13,1)</f>
        <v>33551978885.91</v>
      </c>
    </row>
    <row r="106" spans="1:19" ht="14.25" customHeight="1" x14ac:dyDescent="0.25">
      <c r="A106" s="123" t="s">
        <v>54</v>
      </c>
      <c r="B106" s="118"/>
      <c r="C106" s="118"/>
      <c r="D106" s="124"/>
      <c r="E106" s="124"/>
      <c r="F106" s="124"/>
      <c r="G106" s="124"/>
      <c r="H106" s="124"/>
      <c r="I106" s="124"/>
      <c r="J106" s="124"/>
      <c r="L106" s="17"/>
      <c r="M106" s="17"/>
    </row>
    <row r="107" spans="1:19" x14ac:dyDescent="0.25">
      <c r="A107" s="125" t="s">
        <v>55</v>
      </c>
      <c r="B107" s="118"/>
      <c r="C107" s="118"/>
      <c r="D107" s="124"/>
      <c r="E107" s="124"/>
      <c r="F107" s="124"/>
      <c r="G107" s="126">
        <v>2017</v>
      </c>
      <c r="H107" s="124"/>
      <c r="I107" s="124"/>
      <c r="J107" s="124"/>
      <c r="K107" s="40" t="str">
        <f>A2</f>
        <v>d19041521.IB</v>
      </c>
      <c r="L107" s="33">
        <f>B2</f>
        <v>43100</v>
      </c>
      <c r="M107" s="17"/>
    </row>
    <row r="108" spans="1:19" ht="12.75" customHeight="1" x14ac:dyDescent="0.25">
      <c r="A108" s="127" t="s">
        <v>56</v>
      </c>
      <c r="B108" s="118"/>
      <c r="C108" s="127" t="s">
        <v>57</v>
      </c>
      <c r="D108" s="124"/>
      <c r="E108" s="127" t="s">
        <v>58</v>
      </c>
      <c r="F108" s="124"/>
      <c r="G108" s="127" t="s">
        <v>59</v>
      </c>
      <c r="H108" s="124"/>
      <c r="I108" s="127" t="s">
        <v>60</v>
      </c>
      <c r="J108" s="124"/>
      <c r="L108" s="17"/>
      <c r="M108" s="17"/>
    </row>
    <row r="109" spans="1:19" ht="16.5" customHeight="1" x14ac:dyDescent="0.25">
      <c r="A109" s="53" t="s">
        <v>61</v>
      </c>
      <c r="B109" s="12">
        <f>M109/100</f>
        <v>0.72105599999999992</v>
      </c>
      <c r="C109" s="53" t="s">
        <v>36</v>
      </c>
      <c r="D109" s="71">
        <f>[1]!s_fa_current(A2,B2)</f>
        <v>1.7129000000000001</v>
      </c>
      <c r="E109" s="53" t="s">
        <v>41</v>
      </c>
      <c r="F109" s="72">
        <f>[1]!s_fa_salescashintoor(A2,B2)/100</f>
        <v>1.0744</v>
      </c>
      <c r="G109" s="53" t="s">
        <v>42</v>
      </c>
      <c r="H109" s="12">
        <f>S109/100</f>
        <v>0.37658799999999998</v>
      </c>
      <c r="I109" s="53"/>
      <c r="J109" s="16"/>
      <c r="K109" s="25"/>
      <c r="L109" s="34" t="s">
        <v>61</v>
      </c>
      <c r="M109" s="73">
        <f>[1]!s_fa_debttoassets(A2,B2)</f>
        <v>72.105599999999995</v>
      </c>
      <c r="N109" s="53" t="s">
        <v>36</v>
      </c>
      <c r="O109" s="35"/>
      <c r="P109" s="53" t="s">
        <v>41</v>
      </c>
      <c r="Q109" s="35"/>
      <c r="R109" s="53" t="s">
        <v>42</v>
      </c>
      <c r="S109" s="74">
        <f>[1]!s_fa_grossprofitmargin(A2,B2)</f>
        <v>37.658799999999999</v>
      </c>
    </row>
    <row r="110" spans="1:19" ht="15.75" customHeight="1" x14ac:dyDescent="0.25">
      <c r="A110" s="53" t="s">
        <v>62</v>
      </c>
      <c r="B110" s="12">
        <f>M110/100</f>
        <v>0.86159700000000006</v>
      </c>
      <c r="C110" s="53" t="s">
        <v>63</v>
      </c>
      <c r="D110" s="72">
        <f>[1]!s_fa_quick(A2,B2)</f>
        <v>0.73129999999999995</v>
      </c>
      <c r="E110" s="53" t="s">
        <v>64</v>
      </c>
      <c r="F110" s="71">
        <f>[1]!s_fa_arturn(A2,B2)</f>
        <v>337.62729999999999</v>
      </c>
      <c r="G110" s="53" t="s">
        <v>65</v>
      </c>
      <c r="H110" s="12">
        <f>S110/100</f>
        <v>0.27502599999999999</v>
      </c>
      <c r="I110" s="53"/>
      <c r="J110" s="16"/>
      <c r="L110" s="53" t="s">
        <v>62</v>
      </c>
      <c r="M110" s="73">
        <f>[1]!s_fa_catoassets(A2,B2)</f>
        <v>86.159700000000001</v>
      </c>
      <c r="N110" s="53" t="s">
        <v>63</v>
      </c>
      <c r="O110" s="35"/>
      <c r="P110" s="53" t="s">
        <v>64</v>
      </c>
      <c r="Q110" s="72"/>
      <c r="R110" s="53" t="s">
        <v>65</v>
      </c>
      <c r="S110" s="74">
        <f>[1]!s_fa_optogr(A2,B2)</f>
        <v>27.502600000000001</v>
      </c>
    </row>
    <row r="111" spans="1:19" ht="15" customHeight="1" x14ac:dyDescent="0.25">
      <c r="A111" s="53" t="s">
        <v>66</v>
      </c>
      <c r="B111" s="12">
        <f>M111/100</f>
        <v>0.69759299999999991</v>
      </c>
      <c r="C111" s="53" t="s">
        <v>39</v>
      </c>
      <c r="D111" s="72">
        <f>[1]!s_fa_ebitdatodebt(A2,B2)</f>
        <v>9.5500000000000002E-2</v>
      </c>
      <c r="E111" s="53" t="s">
        <v>67</v>
      </c>
      <c r="F111" s="71">
        <f>[1]!s_fa_invturn(A2,B2)</f>
        <v>0.33789999999999998</v>
      </c>
      <c r="G111" s="53" t="s">
        <v>45</v>
      </c>
      <c r="H111" s="12">
        <f>S111/100</f>
        <v>0.19584099999999999</v>
      </c>
      <c r="I111" s="53"/>
      <c r="J111" s="16"/>
      <c r="L111" s="53" t="s">
        <v>66</v>
      </c>
      <c r="M111" s="73">
        <f>[1]!s_fa_currentdebttodebt(A2,B2)</f>
        <v>69.759299999999996</v>
      </c>
      <c r="N111" s="53" t="s">
        <v>39</v>
      </c>
      <c r="O111" s="35"/>
      <c r="P111" s="53" t="s">
        <v>67</v>
      </c>
      <c r="Q111" s="35"/>
      <c r="R111" s="53" t="s">
        <v>45</v>
      </c>
      <c r="S111" s="74">
        <f>[1]!s_fa_roe(A2,B2)</f>
        <v>19.584099999999999</v>
      </c>
    </row>
    <row r="112" spans="1:19" ht="14.25" customHeight="1" x14ac:dyDescent="0.25">
      <c r="A112" s="53" t="s">
        <v>38</v>
      </c>
      <c r="B112" s="75">
        <f>(M116+M117+M118+M119+M120+M121)/M123</f>
        <v>1.079250347020126</v>
      </c>
      <c r="C112" s="53" t="s">
        <v>68</v>
      </c>
      <c r="D112" s="72">
        <f>[1]!s_fa_ebittointerest(A2,B2)</f>
        <v>18.009499999999999</v>
      </c>
      <c r="E112" s="53" t="s">
        <v>69</v>
      </c>
      <c r="F112" s="71">
        <f>[1]!s_fa_caturn(A2,B2)</f>
        <v>0.30330000000000001</v>
      </c>
      <c r="G112" s="53" t="s">
        <v>70</v>
      </c>
      <c r="H112" s="12">
        <f>S112/100</f>
        <v>7.5264999999999999E-2</v>
      </c>
      <c r="I112" s="53"/>
      <c r="J112" s="16"/>
      <c r="L112" s="53" t="s">
        <v>38</v>
      </c>
      <c r="M112" s="76"/>
      <c r="N112" s="53" t="s">
        <v>68</v>
      </c>
      <c r="O112" s="35"/>
      <c r="P112" s="53" t="s">
        <v>69</v>
      </c>
      <c r="Q112" s="35"/>
      <c r="R112" s="53" t="s">
        <v>70</v>
      </c>
      <c r="S112" s="74">
        <f>[1]!s_fa_roa2(A2,B2)</f>
        <v>7.5265000000000004</v>
      </c>
    </row>
    <row r="113" spans="1:21" x14ac:dyDescent="0.25">
      <c r="A113" s="30"/>
      <c r="B113" s="31"/>
      <c r="C113" s="30"/>
      <c r="D113" s="32"/>
      <c r="E113" s="30" t="s">
        <v>71</v>
      </c>
      <c r="F113" s="77">
        <f>[1]!s_fa_dupont_faturnover(A2,B2)</f>
        <v>0.25869999999999999</v>
      </c>
      <c r="G113" s="30"/>
      <c r="H113" s="31"/>
      <c r="I113" s="30"/>
      <c r="J113" s="31"/>
      <c r="L113" s="30"/>
      <c r="M113" s="36"/>
      <c r="N113" s="30"/>
      <c r="O113" s="32"/>
      <c r="P113" s="30" t="s">
        <v>71</v>
      </c>
      <c r="Q113" s="37"/>
      <c r="R113" s="30"/>
      <c r="S113" s="31"/>
    </row>
    <row r="114" spans="1:21" ht="13.5" customHeight="1" x14ac:dyDescent="0.25">
      <c r="A114" s="123" t="s">
        <v>72</v>
      </c>
      <c r="B114" s="118"/>
      <c r="C114" s="118"/>
      <c r="D114" s="124"/>
      <c r="E114" s="124"/>
      <c r="F114" s="124"/>
      <c r="G114" s="124"/>
      <c r="H114" s="124"/>
      <c r="I114" s="124"/>
      <c r="J114" s="124"/>
      <c r="L114" s="17"/>
      <c r="M114" s="17"/>
    </row>
    <row r="115" spans="1:21" ht="13.5" customHeight="1" x14ac:dyDescent="0.25">
      <c r="A115" s="125" t="s">
        <v>73</v>
      </c>
      <c r="B115" s="118"/>
      <c r="C115" s="118"/>
      <c r="D115" s="124"/>
      <c r="E115" s="124"/>
      <c r="F115" s="124"/>
      <c r="G115" s="128">
        <v>2017</v>
      </c>
      <c r="H115" s="124"/>
      <c r="I115" s="124"/>
      <c r="J115" s="124"/>
      <c r="L115" s="17"/>
      <c r="M115" s="17"/>
    </row>
    <row r="116" spans="1:21" x14ac:dyDescent="0.25">
      <c r="A116" s="129" t="s">
        <v>74</v>
      </c>
      <c r="B116" s="118"/>
      <c r="C116" s="129" t="s">
        <v>75</v>
      </c>
      <c r="D116" s="124"/>
      <c r="E116" s="130" t="s">
        <v>76</v>
      </c>
      <c r="F116" s="124"/>
      <c r="G116" s="124"/>
      <c r="H116" s="124"/>
      <c r="I116" s="124"/>
      <c r="J116" s="124"/>
      <c r="L116" s="17" t="s">
        <v>47</v>
      </c>
      <c r="M116" s="70">
        <f>[1]!b_stm07_bs(K107,75,L107,1)</f>
        <v>16768080000</v>
      </c>
    </row>
    <row r="117" spans="1:21" ht="14.25" customHeight="1" x14ac:dyDescent="0.25">
      <c r="A117" s="53" t="s">
        <v>77</v>
      </c>
      <c r="B117" s="72">
        <f t="shared" ref="B117:B131" si="1">M127/100000000</f>
        <v>452.7768336222</v>
      </c>
      <c r="C117" s="53" t="s">
        <v>78</v>
      </c>
      <c r="D117" s="75">
        <f t="shared" ref="D117:D125" si="2">O127/100000000</f>
        <v>754.54682170009994</v>
      </c>
      <c r="E117" s="131" t="s">
        <v>79</v>
      </c>
      <c r="F117" s="124"/>
      <c r="G117" s="124"/>
      <c r="H117" s="132">
        <f t="shared" ref="H117:H131" si="3">S127/100000000</f>
        <v>810.71214111949996</v>
      </c>
      <c r="I117" s="124"/>
      <c r="J117" s="124"/>
      <c r="L117" s="17" t="s">
        <v>48</v>
      </c>
      <c r="M117" s="70">
        <f>[1]!b_stm07_bs(K107,82,L107,1)</f>
        <v>660618583.03999996</v>
      </c>
    </row>
    <row r="118" spans="1:21" ht="14.25" customHeight="1" x14ac:dyDescent="0.25">
      <c r="A118" s="53" t="s">
        <v>80</v>
      </c>
      <c r="B118" s="72">
        <f t="shared" si="1"/>
        <v>2.1996030942</v>
      </c>
      <c r="C118" s="53" t="s">
        <v>81</v>
      </c>
      <c r="D118" s="75">
        <f t="shared" si="2"/>
        <v>576.2868086958</v>
      </c>
      <c r="E118" s="131" t="s">
        <v>82</v>
      </c>
      <c r="F118" s="124"/>
      <c r="G118" s="124"/>
      <c r="H118" s="132">
        <f t="shared" si="3"/>
        <v>39.646584794100001</v>
      </c>
      <c r="I118" s="124"/>
      <c r="J118" s="124"/>
      <c r="L118" s="17" t="s">
        <v>49</v>
      </c>
      <c r="M118" s="70">
        <f>[1]!b_stm07_bs(K107,88,L107,1)</f>
        <v>13612760580.48</v>
      </c>
    </row>
    <row r="119" spans="1:21" ht="14.25" customHeight="1" x14ac:dyDescent="0.25">
      <c r="A119" s="53" t="s">
        <v>83</v>
      </c>
      <c r="B119" s="72">
        <f t="shared" si="1"/>
        <v>622.96951301989998</v>
      </c>
      <c r="C119" s="53" t="s">
        <v>84</v>
      </c>
      <c r="D119" s="75">
        <f t="shared" si="2"/>
        <v>470.39329236190002</v>
      </c>
      <c r="E119" s="131" t="s">
        <v>85</v>
      </c>
      <c r="F119" s="124"/>
      <c r="G119" s="124"/>
      <c r="H119" s="133">
        <f t="shared" si="3"/>
        <v>854.15795596009991</v>
      </c>
      <c r="I119" s="124"/>
      <c r="J119" s="124"/>
      <c r="L119" s="17" t="s">
        <v>50</v>
      </c>
      <c r="M119" s="70">
        <f>[1]!b_stm07_bs(K107,147,L107,1)</f>
        <v>0</v>
      </c>
    </row>
    <row r="120" spans="1:21" ht="14.25" customHeight="1" x14ac:dyDescent="0.25">
      <c r="A120" s="53" t="s">
        <v>86</v>
      </c>
      <c r="B120" s="72">
        <f t="shared" si="1"/>
        <v>28.388588375999998</v>
      </c>
      <c r="C120" s="53" t="s">
        <v>87</v>
      </c>
      <c r="D120" s="75">
        <f t="shared" si="2"/>
        <v>14.677011263499999</v>
      </c>
      <c r="E120" s="131" t="s">
        <v>88</v>
      </c>
      <c r="F120" s="124"/>
      <c r="G120" s="124"/>
      <c r="H120" s="132">
        <f t="shared" si="3"/>
        <v>613.33632809180006</v>
      </c>
      <c r="I120" s="124"/>
      <c r="J120" s="124"/>
      <c r="L120" s="17" t="s">
        <v>51</v>
      </c>
      <c r="M120" s="70">
        <f>[1]!b_stm07_bs(K107,94,L107,1)</f>
        <v>60696558839.720001</v>
      </c>
    </row>
    <row r="121" spans="1:21" ht="14.25" customHeight="1" x14ac:dyDescent="0.25">
      <c r="A121" s="53" t="s">
        <v>89</v>
      </c>
      <c r="B121" s="72">
        <f t="shared" si="1"/>
        <v>2.2062153918999998</v>
      </c>
      <c r="C121" s="53" t="s">
        <v>90</v>
      </c>
      <c r="D121" s="75">
        <f t="shared" si="2"/>
        <v>12.816304286600001</v>
      </c>
      <c r="E121" s="131" t="s">
        <v>91</v>
      </c>
      <c r="F121" s="124"/>
      <c r="G121" s="124"/>
      <c r="H121" s="132">
        <f t="shared" si="3"/>
        <v>104.2829225598</v>
      </c>
      <c r="I121" s="124"/>
      <c r="J121" s="124"/>
      <c r="L121" s="17" t="s">
        <v>52</v>
      </c>
      <c r="M121" s="70">
        <f>[1]!b_stm07_bs(K107,95,L107,1)</f>
        <v>8397753667.0600004</v>
      </c>
    </row>
    <row r="122" spans="1:21" ht="14.25" customHeight="1" x14ac:dyDescent="0.25">
      <c r="A122" s="53" t="s">
        <v>92</v>
      </c>
      <c r="B122" s="72">
        <f t="shared" si="1"/>
        <v>4.6543191891999998</v>
      </c>
      <c r="C122" s="53" t="s">
        <v>93</v>
      </c>
      <c r="D122" s="75">
        <f t="shared" si="2"/>
        <v>8.3572893316000005</v>
      </c>
      <c r="E122" s="131" t="s">
        <v>94</v>
      </c>
      <c r="F122" s="124"/>
      <c r="G122" s="124"/>
      <c r="H122" s="133">
        <f t="shared" si="3"/>
        <v>901.24481721580003</v>
      </c>
      <c r="I122" s="124"/>
      <c r="J122" s="124"/>
      <c r="L122" s="17"/>
      <c r="M122" s="17"/>
    </row>
    <row r="123" spans="1:21" ht="14.25" customHeight="1" x14ac:dyDescent="0.25">
      <c r="A123" s="53" t="s">
        <v>95</v>
      </c>
      <c r="B123" s="78">
        <f t="shared" si="1"/>
        <v>3326.2092121849</v>
      </c>
      <c r="C123" s="53" t="s">
        <v>96</v>
      </c>
      <c r="D123" s="75">
        <f t="shared" si="2"/>
        <v>207.51979923259998</v>
      </c>
      <c r="E123" s="131" t="s">
        <v>97</v>
      </c>
      <c r="F123" s="124"/>
      <c r="G123" s="124"/>
      <c r="H123" s="133">
        <f t="shared" si="3"/>
        <v>-47.086861255699993</v>
      </c>
      <c r="I123" s="124"/>
      <c r="J123" s="124"/>
      <c r="L123" s="17" t="s">
        <v>53</v>
      </c>
      <c r="M123" s="70">
        <f>[1]!b_stm07_bs(K107,141,L107,1)</f>
        <v>92782709726.970001</v>
      </c>
    </row>
    <row r="124" spans="1:21" ht="14.25" customHeight="1" x14ac:dyDescent="0.25">
      <c r="A124" s="53" t="s">
        <v>98</v>
      </c>
      <c r="B124" s="72">
        <f t="shared" si="1"/>
        <v>167.6808</v>
      </c>
      <c r="C124" s="53" t="s">
        <v>99</v>
      </c>
      <c r="D124" s="75">
        <f t="shared" si="2"/>
        <v>207.33956950439998</v>
      </c>
      <c r="E124" s="131" t="s">
        <v>100</v>
      </c>
      <c r="F124" s="124"/>
      <c r="G124" s="124"/>
      <c r="H124" s="133">
        <f t="shared" si="3"/>
        <v>-326.5688197998</v>
      </c>
      <c r="I124" s="124"/>
      <c r="J124" s="124"/>
      <c r="L124" s="17"/>
      <c r="M124" s="17"/>
    </row>
    <row r="125" spans="1:21" ht="27" customHeight="1" x14ac:dyDescent="0.25">
      <c r="A125" s="53" t="s">
        <v>101</v>
      </c>
      <c r="B125" s="72">
        <f t="shared" si="1"/>
        <v>136.1276058048</v>
      </c>
      <c r="C125" s="53" t="s">
        <v>43</v>
      </c>
      <c r="D125" s="75">
        <f t="shared" si="2"/>
        <v>150.0936119781</v>
      </c>
      <c r="E125" s="131" t="s">
        <v>102</v>
      </c>
      <c r="F125" s="124"/>
      <c r="G125" s="124"/>
      <c r="H125" s="132">
        <f t="shared" si="3"/>
        <v>51.450486380900003</v>
      </c>
      <c r="I125" s="124"/>
      <c r="J125" s="124"/>
      <c r="L125" s="17"/>
      <c r="M125" s="17"/>
    </row>
    <row r="126" spans="1:21" ht="16.5" customHeight="1" x14ac:dyDescent="0.25">
      <c r="A126" s="53" t="s">
        <v>103</v>
      </c>
      <c r="B126" s="72">
        <f t="shared" si="1"/>
        <v>0</v>
      </c>
      <c r="C126" s="53"/>
      <c r="D126" s="79"/>
      <c r="E126" s="131" t="s">
        <v>104</v>
      </c>
      <c r="F126" s="124"/>
      <c r="G126" s="124"/>
      <c r="H126" s="132">
        <f t="shared" si="3"/>
        <v>613.53693093530001</v>
      </c>
      <c r="I126" s="124"/>
      <c r="J126" s="124"/>
      <c r="L126" s="134" t="s">
        <v>74</v>
      </c>
      <c r="M126" s="124"/>
      <c r="N126" s="134" t="s">
        <v>75</v>
      </c>
      <c r="O126" s="124"/>
      <c r="P126" s="125" t="s">
        <v>76</v>
      </c>
      <c r="Q126" s="124"/>
      <c r="R126" s="124"/>
      <c r="S126" s="135"/>
      <c r="T126" s="135"/>
      <c r="U126" s="135"/>
    </row>
    <row r="127" spans="1:21" ht="14.25" customHeight="1" x14ac:dyDescent="0.25">
      <c r="A127" s="53" t="s">
        <v>105</v>
      </c>
      <c r="B127" s="72">
        <f t="shared" si="1"/>
        <v>606.96558839720001</v>
      </c>
      <c r="C127" s="53"/>
      <c r="D127" s="79"/>
      <c r="E127" s="131" t="s">
        <v>106</v>
      </c>
      <c r="F127" s="124"/>
      <c r="G127" s="124"/>
      <c r="H127" s="132">
        <f t="shared" si="3"/>
        <v>73.973736001600003</v>
      </c>
      <c r="I127" s="124"/>
      <c r="J127" s="124"/>
      <c r="L127" s="53" t="s">
        <v>77</v>
      </c>
      <c r="M127" s="74">
        <f>[1]!b_stm07_bs(K107,9,L107,1)</f>
        <v>45277683362.220001</v>
      </c>
      <c r="N127" s="53" t="s">
        <v>78</v>
      </c>
      <c r="O127" s="74">
        <f>[1]!b_stm07_is(K107,83,L107,1)</f>
        <v>75454682170.009995</v>
      </c>
      <c r="P127" s="131" t="s">
        <v>79</v>
      </c>
      <c r="Q127" s="124"/>
      <c r="R127" s="124"/>
      <c r="S127" s="136">
        <f>[1]!b_stm07_cs(K107,9,L107,1)</f>
        <v>81071214111.949997</v>
      </c>
      <c r="T127" s="135"/>
      <c r="U127" s="135"/>
    </row>
    <row r="128" spans="1:21" ht="14.25" customHeight="1" x14ac:dyDescent="0.25">
      <c r="A128" s="53" t="s">
        <v>107</v>
      </c>
      <c r="B128" s="72">
        <f t="shared" si="1"/>
        <v>83.977536670600003</v>
      </c>
      <c r="C128" s="53"/>
      <c r="D128" s="79"/>
      <c r="E128" s="131" t="s">
        <v>108</v>
      </c>
      <c r="F128" s="124"/>
      <c r="G128" s="124"/>
      <c r="H128" s="133">
        <f t="shared" si="3"/>
        <v>838.54306511469997</v>
      </c>
      <c r="I128" s="124"/>
      <c r="J128" s="124"/>
      <c r="L128" s="53" t="s">
        <v>80</v>
      </c>
      <c r="M128" s="74">
        <f>[1]!b_stm07_bs(K107,12,L107,1)</f>
        <v>219960309.41999999</v>
      </c>
      <c r="N128" s="53" t="s">
        <v>81</v>
      </c>
      <c r="O128" s="74">
        <f>[1]!b_stm07_is(K107,84,L107,1)</f>
        <v>57628680869.580002</v>
      </c>
      <c r="P128" s="131" t="s">
        <v>82</v>
      </c>
      <c r="Q128" s="124"/>
      <c r="R128" s="124"/>
      <c r="S128" s="136">
        <f>[1]!b_stm07_cs(K107,11,L107,1)</f>
        <v>3964658479.4099998</v>
      </c>
      <c r="T128" s="135"/>
      <c r="U128" s="135"/>
    </row>
    <row r="129" spans="1:21" ht="14.25" customHeight="1" x14ac:dyDescent="0.25">
      <c r="A129" s="53" t="s">
        <v>109</v>
      </c>
      <c r="B129" s="78">
        <f t="shared" si="1"/>
        <v>2398.3821149152</v>
      </c>
      <c r="C129" s="14"/>
      <c r="D129" s="13"/>
      <c r="E129" s="131" t="s">
        <v>110</v>
      </c>
      <c r="F129" s="124"/>
      <c r="G129" s="124"/>
      <c r="H129" s="132">
        <f t="shared" si="3"/>
        <v>329.86200559029999</v>
      </c>
      <c r="I129" s="124"/>
      <c r="J129" s="124"/>
      <c r="L129" s="53" t="s">
        <v>83</v>
      </c>
      <c r="M129" s="74">
        <f>[1]!b_stm07_bs(K107,13,L107,1)</f>
        <v>62296951301.989998</v>
      </c>
      <c r="N129" s="53" t="s">
        <v>84</v>
      </c>
      <c r="O129" s="74">
        <f>[1]!b_stm07_is(K107,10,L107,1)</f>
        <v>47039329236.190002</v>
      </c>
      <c r="P129" s="131" t="s">
        <v>85</v>
      </c>
      <c r="Q129" s="124"/>
      <c r="R129" s="124"/>
      <c r="S129" s="137">
        <f>[1]!b_stm07_cs(K107,25,L107,1)</f>
        <v>85415795596.009995</v>
      </c>
      <c r="T129" s="135"/>
      <c r="U129" s="135"/>
    </row>
    <row r="130" spans="1:21" ht="14.25" customHeight="1" x14ac:dyDescent="0.25">
      <c r="A130" s="53" t="s">
        <v>111</v>
      </c>
      <c r="B130" s="78">
        <f t="shared" si="1"/>
        <v>927.82709726970006</v>
      </c>
      <c r="C130" s="14"/>
      <c r="D130" s="13"/>
      <c r="E130" s="131" t="s">
        <v>112</v>
      </c>
      <c r="F130" s="124"/>
      <c r="G130" s="124"/>
      <c r="H130" s="132">
        <f t="shared" si="3"/>
        <v>500.71399865220002</v>
      </c>
      <c r="I130" s="124"/>
      <c r="J130" s="124"/>
      <c r="L130" s="53" t="s">
        <v>86</v>
      </c>
      <c r="M130" s="74">
        <f>[1]!b_stm07_bs(K107,31,L107,1)</f>
        <v>2838858837.5999999</v>
      </c>
      <c r="N130" s="53" t="s">
        <v>87</v>
      </c>
      <c r="O130" s="74">
        <f>[1]!b_stm07_is(K107,12,L107,1)</f>
        <v>1467701126.3499999</v>
      </c>
      <c r="P130" s="131" t="s">
        <v>88</v>
      </c>
      <c r="Q130" s="124"/>
      <c r="R130" s="124"/>
      <c r="S130" s="136">
        <f>[1]!b_stm07_cs(K107,26,L107,1)</f>
        <v>61333632809.18</v>
      </c>
      <c r="T130" s="135"/>
      <c r="U130" s="135"/>
    </row>
    <row r="131" spans="1:21" ht="14.25" customHeight="1" x14ac:dyDescent="0.25">
      <c r="A131" s="15" t="s">
        <v>113</v>
      </c>
      <c r="B131" s="78">
        <f t="shared" si="1"/>
        <v>3326.2092121849</v>
      </c>
      <c r="C131" s="14"/>
      <c r="D131" s="13"/>
      <c r="E131" s="131" t="s">
        <v>114</v>
      </c>
      <c r="F131" s="124"/>
      <c r="G131" s="124"/>
      <c r="H131" s="133">
        <f t="shared" si="3"/>
        <v>337.82906646250001</v>
      </c>
      <c r="I131" s="124"/>
      <c r="J131" s="124"/>
      <c r="L131" s="53" t="s">
        <v>89</v>
      </c>
      <c r="M131" s="74">
        <f>[1]!b_stm07_bs(K107,33,L107,1)</f>
        <v>220621539.19</v>
      </c>
      <c r="N131" s="53" t="s">
        <v>90</v>
      </c>
      <c r="O131" s="74">
        <f>[1]!b_stm07_is(K107,13,L107,1)</f>
        <v>1281630428.6600001</v>
      </c>
      <c r="P131" s="131" t="s">
        <v>91</v>
      </c>
      <c r="Q131" s="124"/>
      <c r="R131" s="124"/>
      <c r="S131" s="136">
        <f>[1]!b_stm07_cs(K107,29,L107,1)</f>
        <v>10428292255.98</v>
      </c>
      <c r="T131" s="135"/>
      <c r="U131" s="135"/>
    </row>
    <row r="132" spans="1:21" x14ac:dyDescent="0.25">
      <c r="L132" s="53" t="s">
        <v>92</v>
      </c>
      <c r="M132" s="74">
        <f>[1]!b_stm07_bs(K107,37,L107,1)</f>
        <v>465431918.92000002</v>
      </c>
      <c r="N132" s="53" t="s">
        <v>93</v>
      </c>
      <c r="O132" s="74">
        <f>[1]!b_stm07_is(K107,14,L107,1)</f>
        <v>835728933.15999997</v>
      </c>
      <c r="P132" s="131" t="s">
        <v>94</v>
      </c>
      <c r="Q132" s="124"/>
      <c r="R132" s="124"/>
      <c r="S132" s="137">
        <f>[1]!b_stm07_cs(K107,37,L107,1)</f>
        <v>90124481721.580002</v>
      </c>
      <c r="T132" s="135"/>
      <c r="U132" s="135"/>
    </row>
    <row r="133" spans="1:21" x14ac:dyDescent="0.25">
      <c r="L133" s="53" t="s">
        <v>95</v>
      </c>
      <c r="M133" s="80">
        <f>[1]!b_stm07_bs(K107,74,L107,1)</f>
        <v>332620921218.48999</v>
      </c>
      <c r="N133" s="53" t="s">
        <v>96</v>
      </c>
      <c r="O133" s="74">
        <f>[1]!b_stm07_is(K107,48,L107,1)</f>
        <v>20751979923.259998</v>
      </c>
      <c r="P133" s="131" t="s">
        <v>97</v>
      </c>
      <c r="Q133" s="124"/>
      <c r="R133" s="124"/>
      <c r="S133" s="137">
        <f>[1]!b_stm07_cs(K107,39,L107,1)</f>
        <v>-4708686125.5699997</v>
      </c>
      <c r="T133" s="135"/>
      <c r="U133" s="135"/>
    </row>
    <row r="134" spans="1:21" x14ac:dyDescent="0.25">
      <c r="L134" s="53" t="s">
        <v>98</v>
      </c>
      <c r="M134" s="74">
        <f>[1]!b_stm07_bs(K107,75,L107,1)</f>
        <v>16768080000</v>
      </c>
      <c r="N134" s="53" t="s">
        <v>99</v>
      </c>
      <c r="O134" s="74">
        <f>[1]!b_stm07_is(K107,55,L107,1)</f>
        <v>20733956950.439999</v>
      </c>
      <c r="P134" s="131" t="s">
        <v>100</v>
      </c>
      <c r="Q134" s="124"/>
      <c r="R134" s="124"/>
      <c r="S134" s="137">
        <f>[1]!b_stm07_cs(K107,59,L107,1)</f>
        <v>-32656881979.98</v>
      </c>
      <c r="T134" s="135"/>
      <c r="U134" s="135"/>
    </row>
    <row r="135" spans="1:21" ht="32.4" customHeight="1" x14ac:dyDescent="0.25">
      <c r="L135" s="53" t="s">
        <v>101</v>
      </c>
      <c r="M135" s="74">
        <f>[1]!b_stm07_bs(K107,88,L107,1)</f>
        <v>13612760580.48</v>
      </c>
      <c r="N135" s="53" t="s">
        <v>43</v>
      </c>
      <c r="O135" s="74">
        <f>[1]!b_stm07_is(K107,60,L107,1)</f>
        <v>15009361197.809999</v>
      </c>
      <c r="P135" s="131" t="s">
        <v>102</v>
      </c>
      <c r="Q135" s="124"/>
      <c r="R135" s="124"/>
      <c r="S135" s="136">
        <f>[1]!b_stm07_cs(K107,60,L107,1)</f>
        <v>5145048638.0900002</v>
      </c>
      <c r="T135" s="135"/>
      <c r="U135" s="135"/>
    </row>
    <row r="136" spans="1:21" ht="21.6" customHeight="1" x14ac:dyDescent="0.25">
      <c r="L136" s="53" t="s">
        <v>103</v>
      </c>
      <c r="M136" s="74">
        <f>[1]!b_stm07_bs(K107,147,L107,1)</f>
        <v>0</v>
      </c>
      <c r="N136" s="53"/>
      <c r="O136" s="79"/>
      <c r="P136" s="131" t="s">
        <v>104</v>
      </c>
      <c r="Q136" s="124"/>
      <c r="R136" s="124"/>
      <c r="S136" s="136">
        <f>[1]!b_stm07_cs(K107,61,L107,1)</f>
        <v>61353693093.529999</v>
      </c>
      <c r="T136" s="135"/>
      <c r="U136" s="135"/>
    </row>
    <row r="137" spans="1:21" x14ac:dyDescent="0.25">
      <c r="L137" s="53" t="s">
        <v>105</v>
      </c>
      <c r="M137" s="74">
        <f>[1]!b_stm07_bs(K107,94,L107,1)</f>
        <v>60696558839.720001</v>
      </c>
      <c r="N137" s="53"/>
      <c r="O137" s="79"/>
      <c r="P137" s="131" t="s">
        <v>106</v>
      </c>
      <c r="Q137" s="124"/>
      <c r="R137" s="124"/>
      <c r="S137" s="136">
        <f>[1]!b_stm07_cs(K107,63,L107,1)</f>
        <v>7397373600.1599998</v>
      </c>
      <c r="T137" s="135"/>
      <c r="U137" s="135"/>
    </row>
    <row r="138" spans="1:21" x14ac:dyDescent="0.25">
      <c r="L138" s="53" t="s">
        <v>107</v>
      </c>
      <c r="M138" s="74">
        <f>[1]!b_stm07_bs(K107,95,L107,1)</f>
        <v>8397753667.0600004</v>
      </c>
      <c r="N138" s="53"/>
      <c r="O138" s="79"/>
      <c r="P138" s="131" t="s">
        <v>108</v>
      </c>
      <c r="Q138" s="124"/>
      <c r="R138" s="124"/>
      <c r="S138" s="137">
        <f>[1]!b_stm07_cs(K107,68,L107,1)</f>
        <v>83854306511.470001</v>
      </c>
      <c r="T138" s="135"/>
      <c r="U138" s="135"/>
    </row>
    <row r="139" spans="1:21" x14ac:dyDescent="0.25">
      <c r="L139" s="53" t="s">
        <v>109</v>
      </c>
      <c r="M139" s="80">
        <f>[1]!b_stm07_bs(K107,128,L107,1)</f>
        <v>239838211491.51999</v>
      </c>
      <c r="N139" s="14"/>
      <c r="O139" s="13"/>
      <c r="P139" s="131" t="s">
        <v>110</v>
      </c>
      <c r="Q139" s="124"/>
      <c r="R139" s="124"/>
      <c r="S139" s="136">
        <f>[1]!b_stm07_cs(K107,69,L107,1)</f>
        <v>32986200559.029999</v>
      </c>
      <c r="T139" s="135"/>
      <c r="U139" s="135"/>
    </row>
    <row r="140" spans="1:21" ht="21.6" customHeight="1" x14ac:dyDescent="0.25">
      <c r="L140" s="53" t="s">
        <v>111</v>
      </c>
      <c r="M140" s="80">
        <f>[1]!b_stm07_bs(K107,141,L107,1)</f>
        <v>92782709726.970001</v>
      </c>
      <c r="N140" s="14"/>
      <c r="O140" s="13"/>
      <c r="P140" s="131" t="s">
        <v>112</v>
      </c>
      <c r="Q140" s="124"/>
      <c r="R140" s="124"/>
      <c r="S140" s="136">
        <f>[1]!b_stm07_cs(K107,75,L107,1)</f>
        <v>50071399865.220001</v>
      </c>
      <c r="T140" s="135"/>
      <c r="U140" s="135"/>
    </row>
    <row r="141" spans="1:21" ht="21.6" customHeight="1" x14ac:dyDescent="0.25">
      <c r="L141" s="15" t="s">
        <v>113</v>
      </c>
      <c r="M141" s="80">
        <f>[1]!b_stm07_bs(K107,145,L107,1)</f>
        <v>332620921218.48999</v>
      </c>
      <c r="N141" s="14"/>
      <c r="O141" s="13"/>
      <c r="P141" s="131" t="s">
        <v>114</v>
      </c>
      <c r="Q141" s="124"/>
      <c r="R141" s="124"/>
      <c r="S141" s="137">
        <f>[1]!b_stm07_cs(K107,77,L107,1)</f>
        <v>33782906646.25</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6" t="s">
        <v>2</v>
      </c>
      <c r="B2" s="119" t="s">
        <v>277</v>
      </c>
      <c r="C2" s="120"/>
      <c r="D2" s="56" t="s">
        <v>3</v>
      </c>
      <c r="E2" s="119" t="s">
        <v>278</v>
      </c>
      <c r="F2" s="120"/>
      <c r="G2" s="120"/>
    </row>
    <row r="3" spans="1:12" ht="14.25" customHeight="1" x14ac:dyDescent="0.25">
      <c r="A3" s="56" t="s">
        <v>4</v>
      </c>
      <c r="B3" s="119" t="s">
        <v>279</v>
      </c>
      <c r="C3" s="120"/>
      <c r="D3" s="56" t="s">
        <v>5</v>
      </c>
      <c r="E3" s="119" t="s">
        <v>280</v>
      </c>
      <c r="F3" s="120"/>
      <c r="G3" s="120"/>
    </row>
    <row r="4" spans="1:12" ht="113.25" customHeight="1" x14ac:dyDescent="0.25">
      <c r="A4" s="56" t="s">
        <v>6</v>
      </c>
      <c r="B4" s="121" t="s">
        <v>281</v>
      </c>
      <c r="C4" s="120"/>
      <c r="D4" s="120"/>
      <c r="E4" s="120"/>
      <c r="F4" s="120"/>
      <c r="G4" s="120"/>
    </row>
    <row r="5" spans="1:12" ht="14.4" x14ac:dyDescent="0.25">
      <c r="A5" s="81" t="s">
        <v>115</v>
      </c>
      <c r="B5" s="140" t="s">
        <v>282</v>
      </c>
      <c r="C5" s="120"/>
      <c r="D5" s="120"/>
      <c r="E5" s="120"/>
      <c r="F5" s="141">
        <v>0.58279998779296871</v>
      </c>
      <c r="G5" s="120"/>
    </row>
    <row r="6" spans="1:12" ht="11.25" customHeight="1" x14ac:dyDescent="0.25">
      <c r="A6" s="81" t="s">
        <v>116</v>
      </c>
      <c r="B6" s="140" t="s">
        <v>283</v>
      </c>
      <c r="C6" s="120"/>
      <c r="D6" s="120"/>
      <c r="E6" s="120"/>
      <c r="F6" s="141">
        <v>5.1799998283386231E-2</v>
      </c>
      <c r="G6" s="120"/>
    </row>
    <row r="7" spans="1:12" ht="11.25" customHeight="1" x14ac:dyDescent="0.25">
      <c r="A7" s="81" t="s">
        <v>117</v>
      </c>
      <c r="B7" s="140" t="s">
        <v>284</v>
      </c>
      <c r="C7" s="120"/>
      <c r="D7" s="120"/>
      <c r="E7" s="120"/>
      <c r="F7" s="141">
        <v>4.8499999046325681E-2</v>
      </c>
      <c r="G7" s="120"/>
    </row>
    <row r="8" spans="1:12" ht="11.25" customHeight="1" x14ac:dyDescent="0.25">
      <c r="A8" s="81" t="s">
        <v>118</v>
      </c>
      <c r="B8" s="140" t="s">
        <v>285</v>
      </c>
      <c r="C8" s="120"/>
      <c r="D8" s="120"/>
      <c r="E8" s="120"/>
      <c r="F8" s="141">
        <v>2.9900000095367432E-2</v>
      </c>
      <c r="G8" s="120"/>
    </row>
    <row r="9" spans="1:12" ht="11.25" customHeight="1" x14ac:dyDescent="0.25">
      <c r="A9" s="81" t="s">
        <v>119</v>
      </c>
      <c r="B9" s="140" t="s">
        <v>286</v>
      </c>
      <c r="C9" s="120"/>
      <c r="D9" s="120"/>
      <c r="E9" s="120"/>
      <c r="F9" s="141">
        <v>1.5299999713897705E-2</v>
      </c>
      <c r="G9" s="120"/>
    </row>
    <row r="11" spans="1:12" ht="14.4" customHeight="1" x14ac:dyDescent="0.25">
      <c r="A11" s="142" t="s">
        <v>120</v>
      </c>
      <c r="B11" s="120"/>
      <c r="C11" s="120"/>
      <c r="D11" s="120"/>
      <c r="E11" s="120"/>
      <c r="F11" s="120"/>
      <c r="G11" s="120"/>
      <c r="I11" s="49"/>
      <c r="J11" s="49"/>
      <c r="K11" s="49"/>
      <c r="L11" s="49"/>
    </row>
    <row r="12" spans="1:12" ht="13.5" customHeight="1" x14ac:dyDescent="0.25">
      <c r="A12" s="54" t="s">
        <v>13</v>
      </c>
      <c r="B12" s="54" t="s">
        <v>14</v>
      </c>
      <c r="C12" s="54" t="s">
        <v>15</v>
      </c>
      <c r="D12" s="54" t="s">
        <v>16</v>
      </c>
      <c r="E12" s="54" t="s">
        <v>17</v>
      </c>
      <c r="F12" s="54" t="s">
        <v>18</v>
      </c>
      <c r="G12" s="54" t="s">
        <v>19</v>
      </c>
      <c r="I12" s="47"/>
      <c r="J12" s="48"/>
      <c r="K12" s="49"/>
      <c r="L12" s="49"/>
    </row>
    <row r="13" spans="1:12" ht="14.4" customHeight="1" x14ac:dyDescent="0.25">
      <c r="A13" t="s">
        <v>121</v>
      </c>
      <c r="B13" t="s">
        <v>122</v>
      </c>
      <c r="C13" t="s">
        <v>123</v>
      </c>
      <c r="D13" s="63">
        <v>2.98</v>
      </c>
      <c r="E13" s="63">
        <v>8.7671232876712329E-2</v>
      </c>
      <c r="F13" s="64">
        <v>0</v>
      </c>
      <c r="G13" s="63">
        <v>15</v>
      </c>
    </row>
    <row r="14" spans="1:12" ht="14.4" customHeight="1" x14ac:dyDescent="0.25">
      <c r="A14" t="s">
        <v>124</v>
      </c>
      <c r="B14" t="s">
        <v>125</v>
      </c>
      <c r="C14" t="s">
        <v>126</v>
      </c>
      <c r="D14" s="63">
        <v>5.27</v>
      </c>
      <c r="E14" s="82">
        <v>4.5205479452054798</v>
      </c>
      <c r="F14" t="s">
        <v>25</v>
      </c>
      <c r="G14" s="63">
        <v>7</v>
      </c>
    </row>
    <row r="15" spans="1:12" ht="14.4" customHeight="1" x14ac:dyDescent="0.25">
      <c r="A15" t="s">
        <v>127</v>
      </c>
      <c r="B15" t="s">
        <v>125</v>
      </c>
      <c r="C15" t="s">
        <v>128</v>
      </c>
      <c r="D15" s="63">
        <v>4.8</v>
      </c>
      <c r="E15" s="82">
        <v>2.5205479452054793</v>
      </c>
      <c r="F15" t="s">
        <v>25</v>
      </c>
      <c r="G15" s="63">
        <v>13</v>
      </c>
    </row>
    <row r="16" spans="1:12" ht="14.4" customHeight="1" x14ac:dyDescent="0.25">
      <c r="A16" t="s">
        <v>129</v>
      </c>
      <c r="B16" t="s">
        <v>130</v>
      </c>
      <c r="C16" t="s">
        <v>131</v>
      </c>
      <c r="D16" s="63">
        <v>3.55</v>
      </c>
      <c r="E16" s="82">
        <v>0</v>
      </c>
      <c r="F16">
        <v>0</v>
      </c>
      <c r="G16" s="63">
        <v>10</v>
      </c>
    </row>
    <row r="17" spans="1:7" ht="14.4" customHeight="1" x14ac:dyDescent="0.25">
      <c r="A17" t="s">
        <v>132</v>
      </c>
      <c r="B17" t="s">
        <v>133</v>
      </c>
      <c r="C17" t="s">
        <v>134</v>
      </c>
      <c r="D17" s="63">
        <v>3.74</v>
      </c>
      <c r="E17" s="82">
        <v>2.1917808219178082E-2</v>
      </c>
      <c r="F17">
        <v>0</v>
      </c>
      <c r="G17" s="63">
        <v>30</v>
      </c>
    </row>
    <row r="18" spans="1:7" ht="14.4" customHeight="1" x14ac:dyDescent="0.25">
      <c r="A18" t="s">
        <v>135</v>
      </c>
      <c r="B18" t="s">
        <v>136</v>
      </c>
      <c r="C18" t="s">
        <v>137</v>
      </c>
      <c r="D18" s="63">
        <v>5.25</v>
      </c>
      <c r="E18" s="82">
        <v>4.1561643835616442</v>
      </c>
      <c r="F18" t="s">
        <v>25</v>
      </c>
      <c r="G18" s="63">
        <v>18.399999999999999</v>
      </c>
    </row>
    <row r="19" spans="1:7" ht="14.4" customHeight="1" x14ac:dyDescent="0.25">
      <c r="A19" t="s">
        <v>138</v>
      </c>
      <c r="B19" t="s">
        <v>136</v>
      </c>
      <c r="C19" t="s">
        <v>139</v>
      </c>
      <c r="D19" s="63">
        <v>4.97</v>
      </c>
      <c r="E19" s="82">
        <v>2.1561643835616437</v>
      </c>
      <c r="F19" t="s">
        <v>25</v>
      </c>
      <c r="G19" s="63">
        <v>21.6</v>
      </c>
    </row>
    <row r="20" spans="1:7" ht="14.4" customHeight="1" x14ac:dyDescent="0.25">
      <c r="A20" t="s">
        <v>140</v>
      </c>
      <c r="B20" t="s">
        <v>141</v>
      </c>
      <c r="C20" t="s">
        <v>142</v>
      </c>
      <c r="D20" s="63">
        <v>5</v>
      </c>
      <c r="E20" s="82">
        <v>4.0054794520547947</v>
      </c>
      <c r="F20" t="s">
        <v>25</v>
      </c>
      <c r="G20" s="63">
        <v>20</v>
      </c>
    </row>
    <row r="21" spans="1:7" ht="14.4" customHeight="1" x14ac:dyDescent="0.25">
      <c r="A21" t="s">
        <v>143</v>
      </c>
      <c r="B21" t="s">
        <v>141</v>
      </c>
      <c r="C21" t="s">
        <v>144</v>
      </c>
      <c r="D21" s="63">
        <v>4.83</v>
      </c>
      <c r="E21" s="82">
        <v>2.0054794520547947</v>
      </c>
      <c r="F21" t="s">
        <v>25</v>
      </c>
      <c r="G21" s="63">
        <v>10</v>
      </c>
    </row>
    <row r="22" spans="1:7" ht="14.4" customHeight="1" x14ac:dyDescent="0.25">
      <c r="A22" t="s">
        <v>145</v>
      </c>
      <c r="B22" t="s">
        <v>146</v>
      </c>
      <c r="C22" t="s">
        <v>147</v>
      </c>
      <c r="D22" s="63">
        <v>5.4</v>
      </c>
      <c r="E22" s="82">
        <v>3.6</v>
      </c>
      <c r="F22" t="s">
        <v>25</v>
      </c>
      <c r="G22" s="63">
        <v>13.6</v>
      </c>
    </row>
    <row r="23" spans="1:7" ht="14.4" customHeight="1" x14ac:dyDescent="0.25">
      <c r="A23" t="s">
        <v>148</v>
      </c>
      <c r="B23" t="s">
        <v>146</v>
      </c>
      <c r="C23" t="s">
        <v>149</v>
      </c>
      <c r="D23" s="63">
        <v>5.2</v>
      </c>
      <c r="E23" s="82">
        <v>1.6</v>
      </c>
      <c r="F23" t="s">
        <v>25</v>
      </c>
      <c r="G23" s="63">
        <v>10.4</v>
      </c>
    </row>
    <row r="24" spans="1:7" ht="14.4" customHeight="1" x14ac:dyDescent="0.25">
      <c r="A24" t="s">
        <v>150</v>
      </c>
      <c r="B24" t="s">
        <v>151</v>
      </c>
      <c r="C24" t="s">
        <v>152</v>
      </c>
      <c r="D24" s="63">
        <v>4.7</v>
      </c>
      <c r="E24" s="82">
        <v>1.3506849315068492</v>
      </c>
      <c r="F24" t="s">
        <v>25</v>
      </c>
      <c r="G24" s="63">
        <v>30</v>
      </c>
    </row>
    <row r="25" spans="1:7" ht="14.4" customHeight="1" x14ac:dyDescent="0.25">
      <c r="A25" t="s">
        <v>153</v>
      </c>
      <c r="B25" t="s">
        <v>154</v>
      </c>
      <c r="C25" t="s">
        <v>155</v>
      </c>
      <c r="D25" s="63">
        <v>4.6399999999999997</v>
      </c>
      <c r="E25" s="82">
        <v>0.9098360655737705</v>
      </c>
      <c r="F25" t="s">
        <v>25</v>
      </c>
      <c r="G25" s="63">
        <v>20</v>
      </c>
    </row>
    <row r="26" spans="1:7" ht="14.4" customHeight="1" x14ac:dyDescent="0.25">
      <c r="A26" t="s">
        <v>156</v>
      </c>
      <c r="B26" t="s">
        <v>157</v>
      </c>
      <c r="C26" t="s">
        <v>158</v>
      </c>
      <c r="D26" s="63">
        <v>4.63</v>
      </c>
      <c r="E26" s="82">
        <v>0</v>
      </c>
      <c r="F26" t="s">
        <v>25</v>
      </c>
      <c r="G26" s="63">
        <v>3</v>
      </c>
    </row>
    <row r="27" spans="1:7" ht="14.4" customHeight="1" x14ac:dyDescent="0.25">
      <c r="A27" t="s">
        <v>159</v>
      </c>
      <c r="B27" t="s">
        <v>160</v>
      </c>
      <c r="C27" t="s">
        <v>161</v>
      </c>
      <c r="D27" s="63">
        <v>4.12</v>
      </c>
      <c r="E27" s="82">
        <v>0</v>
      </c>
      <c r="F27" t="s">
        <v>25</v>
      </c>
      <c r="G27" s="63">
        <v>20</v>
      </c>
    </row>
    <row r="28" spans="1:7" ht="14.4" customHeight="1" x14ac:dyDescent="0.25">
      <c r="A28" t="s">
        <v>31</v>
      </c>
      <c r="B28" t="s">
        <v>162</v>
      </c>
      <c r="C28" t="s">
        <v>163</v>
      </c>
      <c r="D28" s="63">
        <v>4.55</v>
      </c>
      <c r="E28" s="82">
        <v>0.81095890410958904</v>
      </c>
      <c r="F28" t="s">
        <v>25</v>
      </c>
      <c r="G28" s="63">
        <v>10</v>
      </c>
    </row>
    <row r="29" spans="1:7" ht="14.4" customHeight="1" x14ac:dyDescent="0.25">
      <c r="D29" s="63"/>
      <c r="E29" s="82"/>
      <c r="G29" s="63"/>
    </row>
    <row r="30" spans="1:7" ht="14.4" customHeight="1" x14ac:dyDescent="0.25">
      <c r="D30" s="63"/>
      <c r="E30" s="82"/>
      <c r="G30" s="63"/>
    </row>
    <row r="31" spans="1:7" ht="14.4" customHeight="1" x14ac:dyDescent="0.25">
      <c r="D31" s="63"/>
      <c r="E31" s="82"/>
      <c r="G31" s="63"/>
    </row>
    <row r="32" spans="1:7" ht="14.4" customHeight="1" x14ac:dyDescent="0.25">
      <c r="D32" s="63"/>
      <c r="E32" s="82"/>
      <c r="G32" s="63"/>
    </row>
    <row r="33" spans="1:7" ht="14.4" customHeight="1" x14ac:dyDescent="0.25">
      <c r="D33" s="63"/>
      <c r="E33" s="82"/>
      <c r="G33" s="63"/>
    </row>
    <row r="34" spans="1:7" ht="14.4" customHeight="1" x14ac:dyDescent="0.25">
      <c r="A34" s="143" t="s">
        <v>164</v>
      </c>
      <c r="B34" s="143"/>
      <c r="C34" s="143"/>
      <c r="D34" s="143"/>
      <c r="E34" s="82"/>
      <c r="G34" s="63"/>
    </row>
    <row r="35" spans="1:7" ht="14.4" customHeight="1" x14ac:dyDescent="0.25">
      <c r="A35" s="83" t="s">
        <v>165</v>
      </c>
      <c r="B35" s="83" t="s">
        <v>166</v>
      </c>
      <c r="C35" s="83" t="s">
        <v>167</v>
      </c>
      <c r="D35" s="84" t="s">
        <v>168</v>
      </c>
      <c r="E35" s="82"/>
      <c r="G35" s="63"/>
    </row>
    <row r="36" spans="1:7" ht="14.4" customHeight="1" x14ac:dyDescent="0.25">
      <c r="A36" t="s">
        <v>169</v>
      </c>
      <c r="B36" t="s">
        <v>25</v>
      </c>
      <c r="C36" t="s">
        <v>170</v>
      </c>
      <c r="D36" s="63" t="s">
        <v>171</v>
      </c>
      <c r="E36" s="82"/>
      <c r="G36" s="63"/>
    </row>
    <row r="37" spans="1:7" ht="14.4" customHeight="1" x14ac:dyDescent="0.25">
      <c r="A37" t="s">
        <v>172</v>
      </c>
      <c r="B37" t="s">
        <v>25</v>
      </c>
      <c r="C37" t="s">
        <v>170</v>
      </c>
      <c r="D37" s="63" t="s">
        <v>171</v>
      </c>
      <c r="E37" s="82"/>
      <c r="G37" s="63"/>
    </row>
    <row r="38" spans="1:7" ht="14.4" customHeight="1" x14ac:dyDescent="0.25">
      <c r="A38" t="s">
        <v>173</v>
      </c>
      <c r="B38" t="s">
        <v>25</v>
      </c>
      <c r="C38" t="s">
        <v>170</v>
      </c>
      <c r="D38" s="63" t="s">
        <v>174</v>
      </c>
      <c r="E38" s="82"/>
      <c r="G38" s="63"/>
    </row>
    <row r="39" spans="1:7" ht="14.4" customHeight="1" x14ac:dyDescent="0.25">
      <c r="A39" t="s">
        <v>175</v>
      </c>
      <c r="B39" t="s">
        <v>25</v>
      </c>
      <c r="C39" t="s">
        <v>170</v>
      </c>
      <c r="D39" s="63" t="s">
        <v>174</v>
      </c>
      <c r="E39" s="82"/>
      <c r="G39" s="63"/>
    </row>
    <row r="40" spans="1:7" ht="14.4" customHeight="1" x14ac:dyDescent="0.25">
      <c r="A40" t="s">
        <v>176</v>
      </c>
      <c r="B40" t="s">
        <v>25</v>
      </c>
      <c r="C40" t="s">
        <v>170</v>
      </c>
      <c r="D40" s="63" t="s">
        <v>174</v>
      </c>
      <c r="E40" s="82"/>
      <c r="G40" s="63"/>
    </row>
    <row r="41" spans="1:7" ht="14.4" customHeight="1" x14ac:dyDescent="0.25">
      <c r="A41" t="s">
        <v>177</v>
      </c>
      <c r="B41" t="s">
        <v>25</v>
      </c>
      <c r="C41" t="s">
        <v>170</v>
      </c>
      <c r="D41" s="63" t="s">
        <v>171</v>
      </c>
      <c r="E41" s="82"/>
      <c r="G41" s="63"/>
    </row>
    <row r="42" spans="1:7" ht="14.4" customHeight="1" x14ac:dyDescent="0.25">
      <c r="A42" t="s">
        <v>178</v>
      </c>
      <c r="B42" t="s">
        <v>25</v>
      </c>
      <c r="C42" t="s">
        <v>170</v>
      </c>
      <c r="D42" s="63" t="s">
        <v>171</v>
      </c>
      <c r="E42" s="82"/>
      <c r="G42" s="63"/>
    </row>
    <row r="43" spans="1:7" ht="14.4" customHeight="1" x14ac:dyDescent="0.25">
      <c r="A43" t="s">
        <v>179</v>
      </c>
      <c r="B43" t="s">
        <v>25</v>
      </c>
      <c r="C43" t="s">
        <v>170</v>
      </c>
      <c r="D43" s="63" t="s">
        <v>171</v>
      </c>
      <c r="E43" s="82"/>
      <c r="G43" s="63"/>
    </row>
    <row r="44" spans="1:7" ht="14.4" customHeight="1" x14ac:dyDescent="0.25">
      <c r="A44" t="s">
        <v>180</v>
      </c>
      <c r="B44" t="s">
        <v>25</v>
      </c>
      <c r="C44" t="s">
        <v>170</v>
      </c>
      <c r="D44" s="63" t="s">
        <v>171</v>
      </c>
      <c r="E44" s="82"/>
      <c r="G44" s="63"/>
    </row>
    <row r="45" spans="1:7" ht="14.4" customHeight="1" x14ac:dyDescent="0.25">
      <c r="A45" t="s">
        <v>181</v>
      </c>
      <c r="B45" t="s">
        <v>25</v>
      </c>
      <c r="C45" t="s">
        <v>170</v>
      </c>
      <c r="D45" s="63" t="s">
        <v>171</v>
      </c>
      <c r="E45" s="82"/>
      <c r="G45" s="63"/>
    </row>
    <row r="46" spans="1:7" ht="14.4" customHeight="1" x14ac:dyDescent="0.25">
      <c r="D46" s="63"/>
      <c r="E46" s="82"/>
      <c r="G46" s="63"/>
    </row>
    <row r="47" spans="1:7" ht="14.4" customHeight="1" x14ac:dyDescent="0.25">
      <c r="D47" s="63"/>
      <c r="E47" s="82"/>
      <c r="G47" s="63"/>
    </row>
    <row r="48" spans="1:7" ht="14.4" customHeight="1" x14ac:dyDescent="0.25">
      <c r="D48" s="63"/>
      <c r="E48" s="82"/>
      <c r="G48" s="63"/>
    </row>
    <row r="49" spans="4:7" ht="14.4" customHeight="1" x14ac:dyDescent="0.25">
      <c r="D49" s="63"/>
      <c r="E49" s="82"/>
      <c r="G49" s="63"/>
    </row>
    <row r="50" spans="4:7" ht="14.4" customHeight="1" x14ac:dyDescent="0.25">
      <c r="D50" s="63"/>
      <c r="E50" s="82"/>
      <c r="G50" s="63"/>
    </row>
    <row r="51" spans="4:7" ht="14.4" customHeight="1" x14ac:dyDescent="0.25">
      <c r="D51" s="63"/>
      <c r="E51" s="82"/>
      <c r="G51" s="63"/>
    </row>
    <row r="52" spans="4:7" ht="14.4" customHeight="1" x14ac:dyDescent="0.25">
      <c r="D52" s="63"/>
      <c r="E52" s="82"/>
      <c r="G52" s="63"/>
    </row>
    <row r="53" spans="4:7" ht="14.4" customHeight="1" x14ac:dyDescent="0.25">
      <c r="D53" s="63"/>
      <c r="E53" s="82"/>
      <c r="G53" s="63"/>
    </row>
    <row r="54" spans="4:7" ht="14.4" customHeight="1" x14ac:dyDescent="0.25">
      <c r="D54" s="63"/>
      <c r="E54" s="82"/>
      <c r="G54" s="63"/>
    </row>
    <row r="55" spans="4:7" ht="14.4" customHeight="1" x14ac:dyDescent="0.25">
      <c r="D55" s="63"/>
      <c r="E55" s="82"/>
      <c r="G55" s="63"/>
    </row>
    <row r="56" spans="4:7" ht="14.4" customHeight="1" x14ac:dyDescent="0.25">
      <c r="D56" s="63"/>
      <c r="E56" s="82"/>
      <c r="G56" s="63"/>
    </row>
    <row r="57" spans="4:7" ht="14.4" customHeight="1" x14ac:dyDescent="0.25">
      <c r="D57" s="63"/>
      <c r="E57" s="82"/>
      <c r="G57" s="63"/>
    </row>
    <row r="58" spans="4:7" ht="14.4" customHeight="1" x14ac:dyDescent="0.25">
      <c r="D58" s="63"/>
      <c r="E58" s="82"/>
      <c r="G58" s="63"/>
    </row>
    <row r="59" spans="4:7" ht="14.4" customHeight="1" x14ac:dyDescent="0.25">
      <c r="D59" s="63"/>
      <c r="E59" s="82"/>
      <c r="G59" s="63"/>
    </row>
    <row r="60" spans="4:7" ht="14.4" customHeight="1" x14ac:dyDescent="0.25">
      <c r="D60" s="63"/>
      <c r="E60" s="82"/>
      <c r="G60" s="63"/>
    </row>
    <row r="61" spans="4:7" ht="14.4" customHeight="1" x14ac:dyDescent="0.25">
      <c r="D61" s="63"/>
      <c r="E61" s="82"/>
      <c r="G61" s="63"/>
    </row>
    <row r="62" spans="4:7" ht="14.4" customHeight="1" x14ac:dyDescent="0.25">
      <c r="D62" s="63"/>
      <c r="E62" s="82"/>
      <c r="G62" s="63"/>
    </row>
    <row r="63" spans="4:7" ht="14.4" customHeight="1" x14ac:dyDescent="0.25">
      <c r="D63" s="63"/>
      <c r="E63" s="82"/>
      <c r="G63" s="63"/>
    </row>
    <row r="64" spans="4:7" ht="14.4" customHeight="1" x14ac:dyDescent="0.25">
      <c r="D64" s="63"/>
      <c r="E64" s="82"/>
      <c r="G64" s="63"/>
    </row>
    <row r="65" spans="1:7" ht="14.4" customHeight="1" x14ac:dyDescent="0.25">
      <c r="D65" s="63"/>
      <c r="E65" s="82"/>
      <c r="G65" s="63"/>
    </row>
    <row r="66" spans="1:7" ht="14.4" customHeight="1" x14ac:dyDescent="0.25">
      <c r="D66" s="63"/>
      <c r="E66" s="82"/>
      <c r="G66" s="63"/>
    </row>
    <row r="67" spans="1:7" ht="14.4" customHeight="1" x14ac:dyDescent="0.25">
      <c r="D67" s="63"/>
      <c r="E67" s="82"/>
      <c r="G67" s="63"/>
    </row>
    <row r="68" spans="1:7" ht="14.4" customHeight="1" x14ac:dyDescent="0.25">
      <c r="D68" s="63"/>
      <c r="E68" s="82"/>
      <c r="G68" s="63"/>
    </row>
    <row r="69" spans="1:7" ht="14.4" customHeight="1" x14ac:dyDescent="0.25">
      <c r="D69" s="63"/>
      <c r="E69" s="82"/>
      <c r="G69" s="63"/>
    </row>
    <row r="70" spans="1:7" ht="14.4" customHeight="1" x14ac:dyDescent="0.25">
      <c r="D70" s="63"/>
      <c r="E70" s="82"/>
      <c r="G70" s="63"/>
    </row>
    <row r="71" spans="1:7" ht="14.4" customHeight="1" x14ac:dyDescent="0.25">
      <c r="D71" s="63"/>
      <c r="E71" s="82"/>
      <c r="G71" s="63"/>
    </row>
    <row r="72" spans="1:7" ht="14.4" customHeight="1" x14ac:dyDescent="0.25">
      <c r="A72" t="s">
        <v>182</v>
      </c>
      <c r="D72" s="63"/>
      <c r="E72" s="82"/>
      <c r="G72" s="63"/>
    </row>
    <row r="73" spans="1:7" ht="14.4" customHeight="1" x14ac:dyDescent="0.25">
      <c r="D73" s="63"/>
      <c r="E73" s="82"/>
      <c r="G73" s="63"/>
    </row>
    <row r="74" spans="1:7" ht="14.4" customHeight="1" x14ac:dyDescent="0.25">
      <c r="D74" s="63"/>
      <c r="E74" s="82"/>
      <c r="G74" s="63"/>
    </row>
    <row r="75" spans="1:7" ht="14.4" customHeight="1" x14ac:dyDescent="0.25">
      <c r="D75" s="63"/>
      <c r="E75" s="82"/>
      <c r="G75" s="63"/>
    </row>
    <row r="76" spans="1:7" ht="14.4" customHeight="1" x14ac:dyDescent="0.25">
      <c r="D76" s="63"/>
      <c r="E76" s="82"/>
      <c r="G76" s="63"/>
    </row>
    <row r="77" spans="1:7" ht="14.4" customHeight="1" x14ac:dyDescent="0.25">
      <c r="D77" s="63"/>
      <c r="E77" s="82"/>
      <c r="G77" s="63"/>
    </row>
    <row r="78" spans="1:7" ht="14.4" customHeight="1" x14ac:dyDescent="0.25">
      <c r="D78" s="63"/>
      <c r="E78" s="82"/>
      <c r="G78" s="63"/>
    </row>
    <row r="79" spans="1:7" ht="14.4" customHeight="1" x14ac:dyDescent="0.25">
      <c r="D79" s="63"/>
      <c r="E79" s="82"/>
      <c r="G79" s="63"/>
    </row>
    <row r="80" spans="1:7" ht="14.4" customHeight="1" x14ac:dyDescent="0.25">
      <c r="D80" s="63"/>
      <c r="E80" s="82"/>
      <c r="G80" s="63"/>
    </row>
    <row r="81" spans="4:7" ht="14.4" customHeight="1" x14ac:dyDescent="0.25">
      <c r="D81" s="63"/>
      <c r="E81" s="82"/>
      <c r="G81" s="63"/>
    </row>
    <row r="82" spans="4:7" ht="14.4" customHeight="1" x14ac:dyDescent="0.25">
      <c r="D82" s="63"/>
      <c r="E82" s="82"/>
      <c r="G82" s="63"/>
    </row>
    <row r="83" spans="4:7" ht="14.4" customHeight="1" x14ac:dyDescent="0.25">
      <c r="D83" s="63"/>
      <c r="E83" s="82"/>
      <c r="G83" s="63"/>
    </row>
    <row r="84" spans="4:7" ht="14.4" customHeight="1" x14ac:dyDescent="0.25">
      <c r="D84" s="63"/>
      <c r="E84" s="82"/>
      <c r="G84" s="63"/>
    </row>
    <row r="85" spans="4:7" ht="14.4" customHeight="1" x14ac:dyDescent="0.25">
      <c r="D85" s="63"/>
      <c r="E85" s="82"/>
      <c r="G85" s="63"/>
    </row>
    <row r="86" spans="4:7" ht="14.4" customHeight="1" x14ac:dyDescent="0.25">
      <c r="D86" s="63"/>
      <c r="E86" s="82"/>
      <c r="G86" s="63"/>
    </row>
    <row r="87" spans="4:7" ht="14.4" customHeight="1" x14ac:dyDescent="0.25">
      <c r="D87" s="63"/>
      <c r="E87" s="82"/>
      <c r="G87" s="63"/>
    </row>
    <row r="88" spans="4:7" ht="14.4" customHeight="1" x14ac:dyDescent="0.25">
      <c r="D88" s="63"/>
      <c r="E88" s="82"/>
      <c r="G88" s="63"/>
    </row>
    <row r="89" spans="4:7" ht="14.4" customHeight="1" x14ac:dyDescent="0.25">
      <c r="D89" s="63"/>
      <c r="E89" s="82"/>
      <c r="G89" s="63"/>
    </row>
    <row r="90" spans="4:7" ht="14.4" customHeight="1" x14ac:dyDescent="0.25">
      <c r="D90" s="63"/>
      <c r="E90" s="82"/>
      <c r="G90" s="63"/>
    </row>
    <row r="91" spans="4:7" ht="14.4" customHeight="1" x14ac:dyDescent="0.25">
      <c r="D91" s="63"/>
      <c r="E91" s="82"/>
      <c r="G91" s="63"/>
    </row>
    <row r="92" spans="4:7" ht="14.4" customHeight="1" x14ac:dyDescent="0.25">
      <c r="D92" s="63"/>
      <c r="E92" s="82"/>
      <c r="G92" s="63"/>
    </row>
    <row r="93" spans="4:7" ht="14.4" customHeight="1" x14ac:dyDescent="0.25">
      <c r="D93" s="63"/>
      <c r="E93" s="82"/>
      <c r="G93" s="63"/>
    </row>
    <row r="94" spans="4:7" ht="14.4" customHeight="1" x14ac:dyDescent="0.25">
      <c r="D94" s="63"/>
      <c r="E94" s="82"/>
      <c r="G94" s="63"/>
    </row>
    <row r="95" spans="4:7" ht="14.4" customHeight="1" x14ac:dyDescent="0.25">
      <c r="D95" s="63"/>
      <c r="E95" s="82"/>
      <c r="G95" s="63"/>
    </row>
    <row r="96" spans="4:7" ht="14.4" customHeight="1" x14ac:dyDescent="0.25">
      <c r="D96" s="63"/>
      <c r="E96" s="82"/>
      <c r="G96" s="63"/>
    </row>
    <row r="97" spans="4:7" ht="14.4" customHeight="1" x14ac:dyDescent="0.25">
      <c r="D97" s="63"/>
      <c r="E97" s="82"/>
      <c r="G97" s="63"/>
    </row>
    <row r="98" spans="4:7" ht="14.4" customHeight="1" x14ac:dyDescent="0.25">
      <c r="D98" s="63"/>
      <c r="E98" s="82"/>
      <c r="G98" s="63"/>
    </row>
    <row r="99" spans="4:7" ht="14.4" customHeight="1" x14ac:dyDescent="0.25">
      <c r="D99" s="63"/>
      <c r="E99" s="82"/>
      <c r="G99" s="63"/>
    </row>
    <row r="100" spans="4:7" ht="14.4" customHeight="1" x14ac:dyDescent="0.25">
      <c r="D100" s="63"/>
      <c r="E100" s="82"/>
      <c r="G100" s="63"/>
    </row>
    <row r="101" spans="4:7" ht="14.4" customHeight="1" x14ac:dyDescent="0.25">
      <c r="D101" s="63"/>
      <c r="E101" s="82"/>
      <c r="G101" s="63"/>
    </row>
    <row r="102" spans="4:7" ht="14.4" customHeight="1" x14ac:dyDescent="0.25">
      <c r="D102" s="63"/>
      <c r="E102" s="82"/>
      <c r="G102" s="63"/>
    </row>
    <row r="103" spans="4:7" ht="14.4" customHeight="1" x14ac:dyDescent="0.25">
      <c r="D103" s="63"/>
      <c r="E103" s="82"/>
      <c r="G103" s="63"/>
    </row>
    <row r="104" spans="4:7" ht="14.4" customHeight="1" x14ac:dyDescent="0.25">
      <c r="D104" s="63"/>
      <c r="E104" s="82"/>
      <c r="G104" s="63"/>
    </row>
    <row r="105" spans="4:7" ht="14.4" customHeight="1" x14ac:dyDescent="0.25">
      <c r="D105" s="63"/>
      <c r="E105" s="82"/>
      <c r="G105" s="63"/>
    </row>
    <row r="106" spans="4:7" ht="14.4" customHeight="1" x14ac:dyDescent="0.25">
      <c r="D106" s="63"/>
      <c r="E106" s="82"/>
      <c r="G106" s="63"/>
    </row>
    <row r="107" spans="4:7" ht="14.4" customHeight="1" x14ac:dyDescent="0.25">
      <c r="D107" s="63"/>
      <c r="E107" s="82"/>
      <c r="G107" s="63"/>
    </row>
    <row r="108" spans="4:7" ht="14.4" customHeight="1" x14ac:dyDescent="0.25">
      <c r="D108" s="63"/>
      <c r="E108" s="82"/>
      <c r="G108" s="63"/>
    </row>
    <row r="109" spans="4:7" ht="14.4" customHeight="1" x14ac:dyDescent="0.25">
      <c r="D109" s="63"/>
      <c r="E109" s="82"/>
      <c r="G109" s="63"/>
    </row>
    <row r="110" spans="4:7" ht="14.4" customHeight="1" x14ac:dyDescent="0.25">
      <c r="D110" s="63"/>
      <c r="E110" s="82"/>
      <c r="G110" s="63"/>
    </row>
    <row r="111" spans="4:7" ht="14.4" customHeight="1" x14ac:dyDescent="0.25">
      <c r="D111" s="63"/>
      <c r="E111" s="82"/>
      <c r="G111" s="63"/>
    </row>
    <row r="112" spans="4:7" ht="14.4" customHeight="1" x14ac:dyDescent="0.25">
      <c r="D112" s="63"/>
      <c r="E112" s="82"/>
      <c r="G112" s="63"/>
    </row>
    <row r="113" spans="4:7" ht="14.4" customHeight="1" x14ac:dyDescent="0.25">
      <c r="D113" s="63"/>
      <c r="E113" s="82"/>
      <c r="G113" s="63"/>
    </row>
    <row r="114" spans="4:7" ht="14.4" customHeight="1" x14ac:dyDescent="0.25">
      <c r="D114" s="63"/>
      <c r="E114" s="82"/>
      <c r="G114" s="63"/>
    </row>
    <row r="115" spans="4:7" ht="14.4" customHeight="1" x14ac:dyDescent="0.25">
      <c r="D115" s="63"/>
      <c r="E115" s="82"/>
      <c r="G115" s="63"/>
    </row>
    <row r="116" spans="4:7" ht="14.4" customHeight="1" x14ac:dyDescent="0.25">
      <c r="D116" s="63"/>
      <c r="E116" s="82"/>
      <c r="G116" s="63"/>
    </row>
    <row r="117" spans="4:7" ht="14.4" customHeight="1" x14ac:dyDescent="0.25">
      <c r="D117" s="63"/>
      <c r="E117" s="82"/>
      <c r="G117" s="63"/>
    </row>
    <row r="118" spans="4:7" ht="14.4" customHeight="1" x14ac:dyDescent="0.25">
      <c r="D118" s="63"/>
      <c r="E118" s="82"/>
      <c r="G118" s="63"/>
    </row>
    <row r="119" spans="4:7" ht="14.4" customHeight="1" x14ac:dyDescent="0.25">
      <c r="D119" s="63"/>
      <c r="E119" s="82"/>
      <c r="G119" s="63"/>
    </row>
    <row r="120" spans="4:7" ht="14.4" customHeight="1" x14ac:dyDescent="0.25">
      <c r="D120" s="63"/>
      <c r="E120" s="82"/>
      <c r="G120" s="63"/>
    </row>
    <row r="121" spans="4:7" ht="14.4" customHeight="1" x14ac:dyDescent="0.25">
      <c r="D121" s="63"/>
      <c r="E121" s="82"/>
      <c r="G121" s="63"/>
    </row>
    <row r="122" spans="4:7" ht="14.4" customHeight="1" x14ac:dyDescent="0.25">
      <c r="D122" s="63"/>
      <c r="E122" s="82"/>
      <c r="G122" s="63"/>
    </row>
    <row r="123" spans="4:7" ht="14.4" customHeight="1" x14ac:dyDescent="0.25">
      <c r="D123" s="63"/>
      <c r="E123" s="82"/>
      <c r="G123" s="63"/>
    </row>
    <row r="124" spans="4:7" ht="14.4" customHeight="1" x14ac:dyDescent="0.25">
      <c r="D124" s="63"/>
      <c r="E124" s="82"/>
      <c r="G124" s="63"/>
    </row>
    <row r="125" spans="4:7" ht="14.4" customHeight="1" x14ac:dyDescent="0.25">
      <c r="D125" s="63"/>
      <c r="E125" s="82"/>
      <c r="G125" s="63"/>
    </row>
    <row r="126" spans="4:7" ht="14.4" customHeight="1" x14ac:dyDescent="0.25">
      <c r="D126" s="63"/>
      <c r="E126" s="82"/>
      <c r="G126" s="63"/>
    </row>
    <row r="127" spans="4:7" ht="14.4" customHeight="1" x14ac:dyDescent="0.25">
      <c r="D127" s="63"/>
      <c r="E127" s="82"/>
      <c r="G127" s="63"/>
    </row>
    <row r="128" spans="4:7" ht="14.4" customHeight="1" x14ac:dyDescent="0.25">
      <c r="D128" s="63"/>
      <c r="E128" s="82"/>
      <c r="G128" s="63"/>
    </row>
    <row r="129" spans="4:7" ht="14.4" customHeight="1" x14ac:dyDescent="0.25">
      <c r="D129" s="63"/>
      <c r="E129" s="82"/>
      <c r="G129" s="63"/>
    </row>
    <row r="130" spans="4:7" ht="14.4" customHeight="1" x14ac:dyDescent="0.25">
      <c r="D130" s="63"/>
      <c r="E130" s="82"/>
      <c r="G130" s="63"/>
    </row>
    <row r="131" spans="4:7" ht="14.4" customHeight="1" x14ac:dyDescent="0.25">
      <c r="D131" s="63"/>
      <c r="E131" s="82"/>
      <c r="G131" s="63"/>
    </row>
    <row r="132" spans="4:7" ht="14.4" customHeight="1" x14ac:dyDescent="0.25">
      <c r="D132" s="63"/>
      <c r="E132" s="82"/>
      <c r="G132" s="63"/>
    </row>
    <row r="133" spans="4:7" ht="14.4" customHeight="1" x14ac:dyDescent="0.25">
      <c r="D133" s="63"/>
      <c r="E133" s="82"/>
      <c r="G133" s="63"/>
    </row>
    <row r="134" spans="4:7" ht="14.4" customHeight="1" x14ac:dyDescent="0.25">
      <c r="D134" s="63"/>
      <c r="E134" s="82"/>
      <c r="G134" s="63"/>
    </row>
    <row r="135" spans="4:7" ht="14.4" customHeight="1" x14ac:dyDescent="0.25">
      <c r="D135" s="63"/>
      <c r="E135" s="82"/>
      <c r="G135" s="63"/>
    </row>
    <row r="136" spans="4:7" ht="14.4" customHeight="1" x14ac:dyDescent="0.25">
      <c r="D136" s="63"/>
      <c r="E136" s="82"/>
      <c r="G136" s="63"/>
    </row>
    <row r="137" spans="4:7" ht="14.4" customHeight="1" x14ac:dyDescent="0.25">
      <c r="D137" s="63"/>
      <c r="E137" s="82"/>
      <c r="G137" s="63"/>
    </row>
    <row r="138" spans="4:7" ht="14.4" customHeight="1" x14ac:dyDescent="0.25">
      <c r="D138" s="63"/>
      <c r="E138" s="82"/>
      <c r="G138" s="63"/>
    </row>
    <row r="139" spans="4:7" ht="14.4" customHeight="1" x14ac:dyDescent="0.25">
      <c r="D139" s="63"/>
      <c r="E139" s="82"/>
      <c r="G139" s="63"/>
    </row>
    <row r="140" spans="4:7" ht="14.4" customHeight="1" x14ac:dyDescent="0.25">
      <c r="D140" s="63"/>
      <c r="E140" s="82"/>
      <c r="G140" s="63"/>
    </row>
    <row r="141" spans="4:7" ht="14.4" customHeight="1" x14ac:dyDescent="0.25">
      <c r="D141" s="63"/>
      <c r="E141" s="82"/>
      <c r="G141" s="63"/>
    </row>
    <row r="142" spans="4:7" ht="14.4" customHeight="1" x14ac:dyDescent="0.25">
      <c r="D142" s="63"/>
      <c r="E142" s="82"/>
      <c r="G142" s="63"/>
    </row>
    <row r="143" spans="4:7" ht="14.4" customHeight="1" x14ac:dyDescent="0.25">
      <c r="D143" s="63"/>
      <c r="E143" s="82"/>
      <c r="G143" s="63"/>
    </row>
    <row r="144" spans="4:7" ht="14.4" customHeight="1" x14ac:dyDescent="0.25">
      <c r="D144" s="63"/>
      <c r="E144" s="82"/>
      <c r="G144" s="63"/>
    </row>
    <row r="145" spans="4:7" ht="14.4" customHeight="1" x14ac:dyDescent="0.25">
      <c r="D145" s="63"/>
      <c r="E145" s="82"/>
      <c r="G145" s="63"/>
    </row>
    <row r="146" spans="4:7" ht="14.4" customHeight="1" x14ac:dyDescent="0.25">
      <c r="D146" s="63"/>
      <c r="E146" s="82"/>
      <c r="G146" s="63"/>
    </row>
    <row r="147" spans="4:7" ht="14.4" customHeight="1" x14ac:dyDescent="0.25">
      <c r="D147" s="63"/>
      <c r="E147" s="82"/>
      <c r="G147" s="63"/>
    </row>
    <row r="148" spans="4:7" ht="14.4" customHeight="1" x14ac:dyDescent="0.25">
      <c r="D148" s="63"/>
      <c r="E148" s="82"/>
      <c r="G148" s="63"/>
    </row>
    <row r="149" spans="4:7" ht="14.4" customHeight="1" x14ac:dyDescent="0.25">
      <c r="D149" s="63"/>
      <c r="E149" s="82"/>
      <c r="G149" s="63"/>
    </row>
    <row r="150" spans="4:7" ht="14.4" customHeight="1" x14ac:dyDescent="0.25">
      <c r="D150" s="63"/>
      <c r="E150" s="82"/>
      <c r="G150" s="63"/>
    </row>
    <row r="151" spans="4:7" ht="14.4" customHeight="1" x14ac:dyDescent="0.25">
      <c r="D151" s="63"/>
      <c r="E151" s="82"/>
      <c r="G151" s="63"/>
    </row>
    <row r="152" spans="4:7" ht="14.4" customHeight="1" x14ac:dyDescent="0.25">
      <c r="D152" s="63"/>
      <c r="E152" s="82"/>
      <c r="G152" s="63"/>
    </row>
    <row r="153" spans="4:7" ht="14.4" customHeight="1" x14ac:dyDescent="0.25">
      <c r="D153" s="63"/>
      <c r="E153" s="82"/>
      <c r="G153" s="63"/>
    </row>
    <row r="154" spans="4:7" ht="14.4" customHeight="1" x14ac:dyDescent="0.25">
      <c r="D154" s="63"/>
      <c r="E154" s="82"/>
      <c r="G154" s="63"/>
    </row>
    <row r="155" spans="4:7" ht="14.4" customHeight="1" x14ac:dyDescent="0.25">
      <c r="D155" s="63"/>
      <c r="E155" s="82"/>
      <c r="G155" s="63"/>
    </row>
    <row r="156" spans="4:7" ht="14.4" customHeight="1" x14ac:dyDescent="0.25">
      <c r="D156" s="63"/>
      <c r="E156" s="82"/>
      <c r="G156" s="63"/>
    </row>
    <row r="157" spans="4:7" ht="14.4" customHeight="1" x14ac:dyDescent="0.25">
      <c r="D157" s="63"/>
      <c r="E157" s="82"/>
      <c r="G157" s="63"/>
    </row>
    <row r="158" spans="4:7" ht="14.4" customHeight="1" x14ac:dyDescent="0.25">
      <c r="D158" s="63"/>
      <c r="E158" s="82"/>
      <c r="G158" s="63"/>
    </row>
    <row r="159" spans="4:7" ht="14.4" customHeight="1" x14ac:dyDescent="0.25">
      <c r="D159" s="63"/>
      <c r="E159" s="82"/>
      <c r="G159" s="63"/>
    </row>
    <row r="160" spans="4:7" ht="14.4" customHeight="1" x14ac:dyDescent="0.25">
      <c r="D160" s="63"/>
      <c r="E160" s="82"/>
      <c r="G160" s="63"/>
    </row>
    <row r="161" spans="4:7" ht="14.4" customHeight="1" x14ac:dyDescent="0.25">
      <c r="D161" s="63"/>
      <c r="E161" s="82"/>
      <c r="G161" s="63"/>
    </row>
    <row r="162" spans="4:7" ht="14.4" customHeight="1" x14ac:dyDescent="0.25">
      <c r="D162" s="63"/>
      <c r="E162" s="82"/>
      <c r="G162" s="63"/>
    </row>
    <row r="163" spans="4:7" ht="14.4" customHeight="1" x14ac:dyDescent="0.25">
      <c r="D163" s="63"/>
      <c r="E163" s="82"/>
      <c r="G163" s="63"/>
    </row>
    <row r="164" spans="4:7" ht="14.4" customHeight="1" x14ac:dyDescent="0.25">
      <c r="D164" s="63"/>
      <c r="E164" s="82"/>
      <c r="G164" s="63"/>
    </row>
    <row r="165" spans="4:7" ht="14.4" customHeight="1" x14ac:dyDescent="0.25">
      <c r="D165" s="63"/>
      <c r="E165" s="82"/>
      <c r="G165" s="63"/>
    </row>
    <row r="166" spans="4:7" ht="14.4" customHeight="1" x14ac:dyDescent="0.25">
      <c r="D166" s="63"/>
      <c r="E166" s="82"/>
      <c r="G166" s="63"/>
    </row>
    <row r="167" spans="4:7" ht="14.4" customHeight="1" x14ac:dyDescent="0.25">
      <c r="D167" s="63"/>
      <c r="E167" s="82"/>
      <c r="G167" s="63"/>
    </row>
    <row r="168" spans="4:7" ht="14.4" customHeight="1" x14ac:dyDescent="0.25">
      <c r="D168" s="63"/>
      <c r="E168" s="82"/>
      <c r="G168" s="63"/>
    </row>
    <row r="169" spans="4:7" ht="14.4" customHeight="1" x14ac:dyDescent="0.25">
      <c r="D169" s="63"/>
      <c r="E169" s="82"/>
      <c r="G169" s="63"/>
    </row>
    <row r="170" spans="4:7" ht="14.4" customHeight="1" x14ac:dyDescent="0.25">
      <c r="D170" s="63"/>
      <c r="E170" s="82"/>
      <c r="G170" s="63"/>
    </row>
    <row r="171" spans="4:7" ht="14.4" customHeight="1" x14ac:dyDescent="0.25">
      <c r="D171" s="63"/>
      <c r="E171" s="82"/>
      <c r="G171" s="63"/>
    </row>
    <row r="172" spans="4:7" ht="14.4" customHeight="1" x14ac:dyDescent="0.25">
      <c r="D172" s="63"/>
      <c r="E172" s="82"/>
      <c r="G172" s="63"/>
    </row>
    <row r="173" spans="4:7" ht="14.4" customHeight="1" x14ac:dyDescent="0.25">
      <c r="D173" s="63"/>
      <c r="E173" s="82"/>
      <c r="G173" s="63"/>
    </row>
    <row r="174" spans="4:7" ht="14.4" customHeight="1" x14ac:dyDescent="0.25">
      <c r="D174" s="63"/>
      <c r="E174" s="82"/>
      <c r="G174" s="63"/>
    </row>
    <row r="175" spans="4:7" ht="14.4" customHeight="1" x14ac:dyDescent="0.25">
      <c r="D175" s="63"/>
      <c r="E175" s="82"/>
      <c r="G175" s="63"/>
    </row>
    <row r="176" spans="4:7" ht="14.4" customHeight="1" x14ac:dyDescent="0.25">
      <c r="D176" s="63"/>
      <c r="E176" s="82"/>
      <c r="G176" s="63"/>
    </row>
    <row r="177" spans="4:7" ht="14.4" customHeight="1" x14ac:dyDescent="0.25">
      <c r="D177" s="63"/>
      <c r="E177" s="82"/>
      <c r="G177" s="63"/>
    </row>
    <row r="178" spans="4:7" ht="14.4" customHeight="1" x14ac:dyDescent="0.25">
      <c r="D178" s="63"/>
      <c r="E178" s="82"/>
      <c r="G178" s="63"/>
    </row>
    <row r="179" spans="4:7" ht="14.4" customHeight="1" x14ac:dyDescent="0.25">
      <c r="D179" s="63"/>
      <c r="E179" s="82"/>
      <c r="G179" s="63"/>
    </row>
    <row r="180" spans="4:7" ht="14.4" customHeight="1" x14ac:dyDescent="0.25">
      <c r="D180" s="63"/>
      <c r="E180" s="82"/>
      <c r="G180" s="63"/>
    </row>
    <row r="181" spans="4:7" ht="14.4" customHeight="1" x14ac:dyDescent="0.25">
      <c r="D181" s="63"/>
      <c r="E181" s="82"/>
      <c r="G181" s="63"/>
    </row>
    <row r="182" spans="4:7" ht="14.4" customHeight="1" x14ac:dyDescent="0.25">
      <c r="D182" s="63"/>
      <c r="E182" s="82"/>
      <c r="G182" s="63"/>
    </row>
    <row r="183" spans="4:7" ht="14.4" customHeight="1" x14ac:dyDescent="0.25">
      <c r="D183" s="63"/>
      <c r="E183" s="82"/>
      <c r="G183" s="63"/>
    </row>
    <row r="184" spans="4:7" ht="14.4" customHeight="1" x14ac:dyDescent="0.25">
      <c r="D184" s="63"/>
      <c r="E184" s="82"/>
      <c r="G184" s="63"/>
    </row>
    <row r="185" spans="4:7" ht="14.4" customHeight="1" x14ac:dyDescent="0.25">
      <c r="D185" s="63"/>
      <c r="E185" s="82"/>
      <c r="G185" s="63"/>
    </row>
    <row r="186" spans="4:7" ht="14.4" customHeight="1" x14ac:dyDescent="0.25">
      <c r="D186" s="63"/>
      <c r="E186" s="82"/>
      <c r="G186" s="63"/>
    </row>
    <row r="187" spans="4:7" ht="14.4" customHeight="1" x14ac:dyDescent="0.25">
      <c r="D187" s="63"/>
      <c r="E187" s="82"/>
      <c r="G187" s="63"/>
    </row>
    <row r="188" spans="4:7" ht="14.4" customHeight="1" x14ac:dyDescent="0.25">
      <c r="D188" s="63"/>
      <c r="E188" s="82"/>
      <c r="G188" s="63"/>
    </row>
    <row r="189" spans="4:7" ht="14.4" customHeight="1" x14ac:dyDescent="0.25">
      <c r="D189" s="63"/>
      <c r="E189" s="82"/>
      <c r="G189" s="63"/>
    </row>
    <row r="190" spans="4:7" ht="14.4" customHeight="1" x14ac:dyDescent="0.25">
      <c r="D190" s="63"/>
      <c r="E190" s="82"/>
      <c r="G190" s="63"/>
    </row>
    <row r="191" spans="4:7" ht="14.4" customHeight="1" x14ac:dyDescent="0.25">
      <c r="D191" s="63"/>
      <c r="E191" s="82"/>
      <c r="G191" s="63"/>
    </row>
    <row r="192" spans="4:7" ht="14.4" customHeight="1" x14ac:dyDescent="0.25">
      <c r="D192" s="63"/>
      <c r="E192" s="82"/>
      <c r="G192" s="63"/>
    </row>
    <row r="193" spans="4:7" ht="14.4" customHeight="1" x14ac:dyDescent="0.25">
      <c r="D193" s="63"/>
      <c r="E193" s="82"/>
      <c r="G193" s="63"/>
    </row>
    <row r="194" spans="4:7" ht="14.4" customHeight="1" x14ac:dyDescent="0.25">
      <c r="D194" s="63"/>
      <c r="E194" s="82"/>
      <c r="G194" s="63"/>
    </row>
    <row r="195" spans="4:7" ht="14.4" customHeight="1" x14ac:dyDescent="0.25">
      <c r="D195" s="63"/>
      <c r="E195" s="82"/>
      <c r="G195" s="63"/>
    </row>
    <row r="196" spans="4:7" ht="14.4" customHeight="1" x14ac:dyDescent="0.25">
      <c r="D196" s="63"/>
      <c r="E196" s="82"/>
      <c r="G196" s="63"/>
    </row>
    <row r="197" spans="4:7" ht="14.4" customHeight="1" x14ac:dyDescent="0.25">
      <c r="D197" s="63"/>
      <c r="E197" s="82"/>
      <c r="G197" s="63"/>
    </row>
    <row r="198" spans="4:7" ht="14.4" customHeight="1" x14ac:dyDescent="0.25">
      <c r="D198" s="63"/>
      <c r="E198" s="82"/>
      <c r="G198" s="63"/>
    </row>
    <row r="199" spans="4:7" ht="14.4" customHeight="1" x14ac:dyDescent="0.25">
      <c r="D199" s="63"/>
      <c r="E199" s="82"/>
      <c r="G199" s="63"/>
    </row>
    <row r="200" spans="4:7" ht="14.4" customHeight="1" x14ac:dyDescent="0.25">
      <c r="D200" s="63"/>
      <c r="E200" s="82"/>
      <c r="G200" s="63"/>
    </row>
    <row r="201" spans="4:7" ht="14.4" customHeight="1" x14ac:dyDescent="0.25">
      <c r="D201" s="63"/>
      <c r="E201" s="82"/>
      <c r="G201" s="63"/>
    </row>
    <row r="202" spans="4:7" ht="14.4" customHeight="1" x14ac:dyDescent="0.25">
      <c r="D202" s="63"/>
      <c r="E202" s="82"/>
      <c r="G202" s="63"/>
    </row>
    <row r="203" spans="4:7" ht="14.4" customHeight="1" x14ac:dyDescent="0.25">
      <c r="D203" s="63"/>
      <c r="E203" s="82"/>
      <c r="G203" s="63"/>
    </row>
    <row r="204" spans="4:7" ht="14.4" customHeight="1" x14ac:dyDescent="0.25">
      <c r="D204" s="63"/>
      <c r="E204" s="82"/>
      <c r="G204" s="63"/>
    </row>
    <row r="205" spans="4:7" ht="14.4" customHeight="1" x14ac:dyDescent="0.25">
      <c r="D205" s="63"/>
      <c r="E205" s="82"/>
      <c r="G205" s="63"/>
    </row>
    <row r="206" spans="4:7" ht="14.4" customHeight="1" x14ac:dyDescent="0.25">
      <c r="D206" s="63"/>
      <c r="E206" s="82"/>
      <c r="G206" s="63"/>
    </row>
    <row r="207" spans="4:7" ht="14.4" customHeight="1" x14ac:dyDescent="0.25">
      <c r="D207" s="63"/>
      <c r="E207" s="82"/>
      <c r="G207" s="63"/>
    </row>
    <row r="208" spans="4:7" ht="14.4" customHeight="1" x14ac:dyDescent="0.25">
      <c r="D208" s="63"/>
      <c r="E208" s="82"/>
      <c r="G208" s="63"/>
    </row>
    <row r="209" spans="4:7" ht="14.4" customHeight="1" x14ac:dyDescent="0.25">
      <c r="D209" s="63"/>
      <c r="E209" s="82"/>
      <c r="G209" s="63"/>
    </row>
    <row r="210" spans="4:7" ht="14.4" customHeight="1" x14ac:dyDescent="0.25">
      <c r="D210" s="63"/>
      <c r="E210" s="82"/>
      <c r="G210" s="63"/>
    </row>
    <row r="211" spans="4:7" ht="14.4" customHeight="1" x14ac:dyDescent="0.25">
      <c r="D211" s="63"/>
      <c r="E211" s="82"/>
      <c r="G211" s="63"/>
    </row>
    <row r="212" spans="4:7" ht="14.4" customHeight="1" x14ac:dyDescent="0.25">
      <c r="D212" s="63"/>
      <c r="E212" s="82"/>
      <c r="G212" s="63"/>
    </row>
    <row r="213" spans="4:7" ht="14.4" customHeight="1" x14ac:dyDescent="0.25">
      <c r="D213" s="63"/>
      <c r="E213" s="82"/>
      <c r="G213" s="63"/>
    </row>
    <row r="214" spans="4:7" ht="14.4" customHeight="1" x14ac:dyDescent="0.25">
      <c r="D214" s="63"/>
      <c r="E214" s="82"/>
      <c r="G214" s="63"/>
    </row>
    <row r="215" spans="4:7" ht="14.4" customHeight="1" x14ac:dyDescent="0.25">
      <c r="D215" s="63"/>
      <c r="E215" s="82"/>
      <c r="G215" s="63"/>
    </row>
    <row r="216" spans="4:7" ht="14.4" customHeight="1" x14ac:dyDescent="0.25">
      <c r="D216" s="63"/>
      <c r="E216" s="82"/>
      <c r="G216" s="63"/>
    </row>
    <row r="217" spans="4:7" ht="14.4" customHeight="1" x14ac:dyDescent="0.25">
      <c r="D217" s="63"/>
      <c r="E217" s="82"/>
      <c r="G217" s="63"/>
    </row>
    <row r="218" spans="4:7" ht="14.4" customHeight="1" x14ac:dyDescent="0.25">
      <c r="D218" s="63"/>
      <c r="E218" s="82"/>
      <c r="G218" s="63"/>
    </row>
    <row r="219" spans="4:7" ht="14.4" customHeight="1" x14ac:dyDescent="0.25">
      <c r="D219" s="63"/>
      <c r="E219" s="82"/>
      <c r="G219" s="63"/>
    </row>
    <row r="220" spans="4:7" ht="14.4" customHeight="1" x14ac:dyDescent="0.25">
      <c r="D220" s="63"/>
      <c r="E220" s="82"/>
      <c r="G220" s="63"/>
    </row>
    <row r="221" spans="4:7" ht="14.4" customHeight="1" x14ac:dyDescent="0.25">
      <c r="D221" s="63"/>
      <c r="E221" s="82"/>
      <c r="G221" s="63"/>
    </row>
    <row r="222" spans="4:7" ht="14.4" customHeight="1" x14ac:dyDescent="0.25">
      <c r="D222" s="63"/>
      <c r="E222" s="82"/>
      <c r="G222" s="63"/>
    </row>
    <row r="223" spans="4:7" ht="14.4" customHeight="1" x14ac:dyDescent="0.25">
      <c r="D223" s="63"/>
      <c r="E223" s="82"/>
      <c r="G223" s="63"/>
    </row>
    <row r="224" spans="4:7" ht="14.4" customHeight="1" x14ac:dyDescent="0.25">
      <c r="D224" s="63"/>
      <c r="E224" s="82"/>
      <c r="G224" s="63"/>
    </row>
    <row r="225" spans="4:7" ht="14.4" customHeight="1" x14ac:dyDescent="0.25">
      <c r="D225" s="63"/>
      <c r="E225" s="82"/>
      <c r="G225" s="63"/>
    </row>
    <row r="226" spans="4:7" ht="14.4" customHeight="1" x14ac:dyDescent="0.25">
      <c r="D226" s="63"/>
      <c r="E226" s="82"/>
      <c r="G226" s="63"/>
    </row>
    <row r="227" spans="4:7" ht="14.4" customHeight="1" x14ac:dyDescent="0.25">
      <c r="D227" s="63"/>
      <c r="E227" s="82"/>
      <c r="G227" s="63"/>
    </row>
    <row r="228" spans="4:7" ht="14.4" customHeight="1" x14ac:dyDescent="0.25">
      <c r="D228" s="63"/>
      <c r="E228" s="82"/>
      <c r="G228" s="63"/>
    </row>
    <row r="229" spans="4:7" ht="14.4" customHeight="1" x14ac:dyDescent="0.25">
      <c r="D229" s="63"/>
      <c r="E229" s="82"/>
      <c r="G229" s="63"/>
    </row>
    <row r="230" spans="4:7" ht="14.4" customHeight="1" x14ac:dyDescent="0.25">
      <c r="D230" s="63"/>
      <c r="E230" s="82"/>
      <c r="G230" s="63"/>
    </row>
    <row r="231" spans="4:7" ht="14.4" customHeight="1" x14ac:dyDescent="0.25">
      <c r="D231" s="63"/>
      <c r="E231" s="82"/>
      <c r="G231" s="63"/>
    </row>
    <row r="232" spans="4:7" ht="14.4" customHeight="1" x14ac:dyDescent="0.25">
      <c r="D232" s="63"/>
      <c r="E232" s="82"/>
      <c r="G232" s="63"/>
    </row>
    <row r="233" spans="4:7" ht="14.4" customHeight="1" x14ac:dyDescent="0.25">
      <c r="D233" s="63"/>
      <c r="E233" s="82"/>
      <c r="G233" s="63"/>
    </row>
    <row r="234" spans="4:7" ht="14.4" customHeight="1" x14ac:dyDescent="0.25">
      <c r="D234" s="63"/>
      <c r="E234" s="82"/>
      <c r="G234" s="63"/>
    </row>
    <row r="235" spans="4:7" ht="14.4" customHeight="1" x14ac:dyDescent="0.25">
      <c r="D235" s="63"/>
      <c r="E235" s="82"/>
      <c r="G235" s="63"/>
    </row>
    <row r="236" spans="4:7" ht="14.4" customHeight="1" x14ac:dyDescent="0.25">
      <c r="D236" s="63"/>
      <c r="E236" s="82"/>
      <c r="G236" s="63"/>
    </row>
    <row r="237" spans="4:7" ht="14.4" customHeight="1" x14ac:dyDescent="0.25">
      <c r="D237" s="63"/>
      <c r="E237" s="82"/>
      <c r="G237" s="63"/>
    </row>
    <row r="238" spans="4:7" ht="14.4" customHeight="1" x14ac:dyDescent="0.25">
      <c r="D238" s="63"/>
      <c r="E238" s="82"/>
      <c r="G238" s="63"/>
    </row>
    <row r="239" spans="4:7" ht="14.4" customHeight="1" x14ac:dyDescent="0.25">
      <c r="D239" s="63"/>
      <c r="E239" s="82"/>
      <c r="G239" s="63"/>
    </row>
    <row r="240" spans="4:7" ht="14.4" customHeight="1" x14ac:dyDescent="0.25">
      <c r="D240" s="63"/>
      <c r="E240" s="82"/>
      <c r="G240" s="63"/>
    </row>
    <row r="241" spans="4:7" ht="14.4" customHeight="1" x14ac:dyDescent="0.25">
      <c r="D241" s="63"/>
      <c r="E241" s="82"/>
      <c r="G241" s="63"/>
    </row>
    <row r="242" spans="4:7" ht="14.4" customHeight="1" x14ac:dyDescent="0.25">
      <c r="D242" s="63"/>
      <c r="E242" s="82"/>
      <c r="G242" s="63"/>
    </row>
    <row r="243" spans="4:7" ht="14.4" customHeight="1" x14ac:dyDescent="0.25">
      <c r="D243" s="63"/>
      <c r="E243" s="82"/>
      <c r="G243" s="63"/>
    </row>
    <row r="244" spans="4:7" ht="14.4" customHeight="1" x14ac:dyDescent="0.25">
      <c r="D244" s="63"/>
      <c r="E244" s="82"/>
      <c r="G244" s="63"/>
    </row>
    <row r="245" spans="4:7" ht="14.4" customHeight="1" x14ac:dyDescent="0.25">
      <c r="D245" s="63"/>
      <c r="E245" s="82"/>
      <c r="G245" s="63"/>
    </row>
    <row r="246" spans="4:7" ht="14.4" customHeight="1" x14ac:dyDescent="0.25">
      <c r="D246" s="63"/>
      <c r="E246" s="82"/>
      <c r="G246" s="63"/>
    </row>
    <row r="247" spans="4:7" ht="14.4" customHeight="1" x14ac:dyDescent="0.25">
      <c r="D247" s="63"/>
      <c r="E247" s="82"/>
      <c r="G247" s="63"/>
    </row>
    <row r="248" spans="4:7" ht="14.4" customHeight="1" x14ac:dyDescent="0.25">
      <c r="D248" s="63"/>
      <c r="E248" s="82"/>
      <c r="G248" s="63"/>
    </row>
    <row r="249" spans="4:7" ht="14.4" customHeight="1" x14ac:dyDescent="0.25">
      <c r="D249" s="63"/>
      <c r="E249" s="82"/>
      <c r="G249" s="63"/>
    </row>
    <row r="250" spans="4:7" ht="14.4" customHeight="1" x14ac:dyDescent="0.25">
      <c r="D250" s="63"/>
      <c r="E250" s="82"/>
      <c r="G250" s="63"/>
    </row>
    <row r="251" spans="4:7" ht="14.4" customHeight="1" x14ac:dyDescent="0.25">
      <c r="D251" s="63"/>
      <c r="E251" s="82"/>
      <c r="G251" s="63"/>
    </row>
    <row r="252" spans="4:7" ht="14.4" customHeight="1" x14ac:dyDescent="0.25">
      <c r="D252" s="63"/>
      <c r="E252" s="82"/>
      <c r="G252" s="63"/>
    </row>
    <row r="253" spans="4:7" ht="14.4" customHeight="1" x14ac:dyDescent="0.25">
      <c r="D253" s="63"/>
      <c r="E253" s="82"/>
      <c r="G253" s="63"/>
    </row>
    <row r="254" spans="4:7" ht="14.4" customHeight="1" x14ac:dyDescent="0.25">
      <c r="D254" s="63"/>
      <c r="E254" s="82"/>
      <c r="G254" s="63"/>
    </row>
    <row r="255" spans="4:7" ht="14.4" customHeight="1" x14ac:dyDescent="0.25">
      <c r="D255" s="63"/>
      <c r="E255" s="82"/>
      <c r="G255" s="63"/>
    </row>
    <row r="256" spans="4:7" ht="14.4" customHeight="1" x14ac:dyDescent="0.25">
      <c r="D256" s="63"/>
      <c r="E256" s="82"/>
      <c r="G256" s="63"/>
    </row>
    <row r="257" spans="4:7" ht="14.4" customHeight="1" x14ac:dyDescent="0.25">
      <c r="D257" s="63"/>
      <c r="E257" s="82"/>
      <c r="G257" s="63"/>
    </row>
    <row r="258" spans="4:7" ht="14.4" customHeight="1" x14ac:dyDescent="0.25">
      <c r="D258" s="63"/>
      <c r="E258" s="82"/>
      <c r="G258" s="63"/>
    </row>
    <row r="259" spans="4:7" ht="14.4" customHeight="1" x14ac:dyDescent="0.25">
      <c r="D259" s="63"/>
      <c r="E259" s="82"/>
      <c r="G259" s="63"/>
    </row>
    <row r="260" spans="4:7" ht="14.4" customHeight="1" x14ac:dyDescent="0.25">
      <c r="D260" s="63"/>
      <c r="E260" s="82"/>
      <c r="G260" s="63"/>
    </row>
    <row r="261" spans="4:7" ht="14.4" customHeight="1" x14ac:dyDescent="0.25">
      <c r="D261" s="63"/>
      <c r="E261" s="82"/>
      <c r="G261" s="63"/>
    </row>
    <row r="262" spans="4:7" ht="14.4" customHeight="1" x14ac:dyDescent="0.25">
      <c r="D262" s="63"/>
      <c r="E262" s="82"/>
      <c r="G262" s="63"/>
    </row>
    <row r="263" spans="4:7" ht="14.4" customHeight="1" x14ac:dyDescent="0.25">
      <c r="D263" s="63"/>
      <c r="E263" s="82"/>
      <c r="G263" s="63"/>
    </row>
    <row r="264" spans="4:7" ht="14.4" customHeight="1" x14ac:dyDescent="0.25">
      <c r="D264" s="63"/>
      <c r="E264" s="82"/>
      <c r="G264" s="63"/>
    </row>
    <row r="265" spans="4:7" ht="14.4" customHeight="1" x14ac:dyDescent="0.25">
      <c r="D265" s="63"/>
      <c r="E265" s="82"/>
      <c r="G265" s="63"/>
    </row>
    <row r="266" spans="4:7" ht="14.4" customHeight="1" x14ac:dyDescent="0.25">
      <c r="D266" s="63"/>
      <c r="E266" s="82"/>
      <c r="G266" s="63"/>
    </row>
    <row r="267" spans="4:7" ht="14.4" customHeight="1" x14ac:dyDescent="0.25">
      <c r="D267" s="63"/>
      <c r="E267" s="82"/>
      <c r="G267" s="63"/>
    </row>
    <row r="268" spans="4:7" ht="14.4" customHeight="1" x14ac:dyDescent="0.25">
      <c r="D268" s="63"/>
      <c r="E268" s="82"/>
      <c r="G268" s="63"/>
    </row>
    <row r="269" spans="4:7" ht="14.4" customHeight="1" x14ac:dyDescent="0.25">
      <c r="D269" s="63"/>
      <c r="E269" s="82"/>
      <c r="G269" s="63"/>
    </row>
    <row r="270" spans="4:7" ht="14.4" customHeight="1" x14ac:dyDescent="0.25">
      <c r="D270" s="63"/>
      <c r="E270" s="82"/>
      <c r="G270" s="63"/>
    </row>
    <row r="271" spans="4:7" ht="14.4" customHeight="1" x14ac:dyDescent="0.25">
      <c r="D271" s="63"/>
      <c r="E271" s="82"/>
      <c r="G271" s="63"/>
    </row>
    <row r="272" spans="4:7" ht="14.4" customHeight="1" x14ac:dyDescent="0.25">
      <c r="D272" s="63"/>
      <c r="E272" s="82"/>
      <c r="G272" s="63"/>
    </row>
    <row r="273" spans="4:7" ht="14.4" customHeight="1" x14ac:dyDescent="0.25">
      <c r="D273" s="63"/>
      <c r="E273" s="82"/>
      <c r="G273" s="63"/>
    </row>
    <row r="274" spans="4:7" ht="14.4" customHeight="1" x14ac:dyDescent="0.25">
      <c r="D274" s="63"/>
      <c r="E274" s="82"/>
      <c r="G274" s="63"/>
    </row>
    <row r="275" spans="4:7" ht="14.4" customHeight="1" x14ac:dyDescent="0.25">
      <c r="D275" s="63"/>
      <c r="E275" s="82"/>
      <c r="G275" s="63"/>
    </row>
    <row r="276" spans="4:7" ht="14.4" customHeight="1" x14ac:dyDescent="0.25">
      <c r="D276" s="63"/>
      <c r="E276" s="82"/>
      <c r="G276" s="63"/>
    </row>
    <row r="277" spans="4:7" ht="14.4" customHeight="1" x14ac:dyDescent="0.25">
      <c r="D277" s="63"/>
      <c r="E277" s="82"/>
      <c r="G277" s="63"/>
    </row>
    <row r="278" spans="4:7" ht="14.4" customHeight="1" x14ac:dyDescent="0.25">
      <c r="D278" s="63"/>
      <c r="E278" s="82"/>
      <c r="G278" s="63"/>
    </row>
    <row r="279" spans="4:7" ht="14.4" customHeight="1" x14ac:dyDescent="0.25">
      <c r="D279" s="63"/>
      <c r="E279" s="82"/>
      <c r="G279" s="63"/>
    </row>
    <row r="280" spans="4:7" ht="14.4" customHeight="1" x14ac:dyDescent="0.25">
      <c r="D280" s="63"/>
      <c r="E280" s="82"/>
      <c r="G280" s="63"/>
    </row>
    <row r="281" spans="4:7" ht="14.4" customHeight="1" x14ac:dyDescent="0.25">
      <c r="D281" s="63"/>
      <c r="E281" s="82"/>
      <c r="G281" s="63"/>
    </row>
    <row r="282" spans="4:7" ht="14.4" customHeight="1" x14ac:dyDescent="0.25">
      <c r="D282" s="63"/>
      <c r="E282" s="82"/>
      <c r="G282" s="63"/>
    </row>
    <row r="283" spans="4:7" ht="14.4" customHeight="1" x14ac:dyDescent="0.25">
      <c r="D283" s="63"/>
      <c r="E283" s="82"/>
      <c r="G283" s="63"/>
    </row>
    <row r="284" spans="4:7" ht="14.4" customHeight="1" x14ac:dyDescent="0.25">
      <c r="D284" s="63"/>
      <c r="E284" s="82"/>
      <c r="G284" s="63"/>
    </row>
    <row r="285" spans="4:7" ht="14.4" customHeight="1" x14ac:dyDescent="0.25">
      <c r="D285" s="63"/>
      <c r="E285" s="82"/>
      <c r="G285" s="63"/>
    </row>
    <row r="286" spans="4:7" ht="14.4" customHeight="1" x14ac:dyDescent="0.25">
      <c r="D286" s="63"/>
      <c r="E286" s="82"/>
      <c r="G286" s="63"/>
    </row>
    <row r="287" spans="4:7" ht="14.4" customHeight="1" x14ac:dyDescent="0.25">
      <c r="D287" s="63"/>
      <c r="E287" s="82"/>
      <c r="G287" s="63"/>
    </row>
    <row r="288" spans="4:7" ht="14.4" customHeight="1" x14ac:dyDescent="0.25">
      <c r="D288" s="63"/>
      <c r="E288" s="82"/>
      <c r="G288" s="63"/>
    </row>
    <row r="289" spans="4:7" ht="14.4" customHeight="1" x14ac:dyDescent="0.25">
      <c r="D289" s="63"/>
      <c r="E289" s="82"/>
      <c r="G289" s="63"/>
    </row>
    <row r="290" spans="4:7" ht="14.4" customHeight="1" x14ac:dyDescent="0.25">
      <c r="D290" s="63"/>
      <c r="E290" s="82"/>
      <c r="G290" s="63"/>
    </row>
    <row r="291" spans="4:7" ht="14.4" customHeight="1" x14ac:dyDescent="0.25">
      <c r="D291" s="63"/>
      <c r="E291" s="82"/>
      <c r="G291" s="63"/>
    </row>
    <row r="292" spans="4:7" ht="14.4" customHeight="1" x14ac:dyDescent="0.25">
      <c r="D292" s="63"/>
      <c r="E292" s="82"/>
      <c r="G292" s="63"/>
    </row>
    <row r="293" spans="4:7" ht="14.4" customHeight="1" x14ac:dyDescent="0.25">
      <c r="D293" s="63"/>
      <c r="E293" s="82"/>
      <c r="G293" s="63"/>
    </row>
    <row r="294" spans="4:7" ht="14.4" customHeight="1" x14ac:dyDescent="0.25">
      <c r="D294" s="63"/>
      <c r="E294" s="82"/>
      <c r="G294" s="63"/>
    </row>
    <row r="295" spans="4:7" ht="14.4" customHeight="1" x14ac:dyDescent="0.25">
      <c r="D295" s="63"/>
      <c r="E295" s="82"/>
      <c r="G295" s="63"/>
    </row>
    <row r="296" spans="4:7" ht="14.4" customHeight="1" x14ac:dyDescent="0.25">
      <c r="D296" s="63"/>
      <c r="E296" s="82"/>
      <c r="G296" s="63"/>
    </row>
    <row r="297" spans="4:7" ht="14.4" customHeight="1" x14ac:dyDescent="0.25">
      <c r="D297" s="63"/>
      <c r="E297" s="82"/>
      <c r="G297" s="63"/>
    </row>
    <row r="298" spans="4:7" ht="14.4" customHeight="1" x14ac:dyDescent="0.25">
      <c r="D298" s="63"/>
      <c r="E298" s="82"/>
      <c r="G298" s="63"/>
    </row>
    <row r="299" spans="4:7" ht="14.4" customHeight="1" x14ac:dyDescent="0.25">
      <c r="D299" s="63"/>
      <c r="E299" s="82"/>
      <c r="G299" s="63"/>
    </row>
    <row r="300" spans="4:7" ht="14.4" customHeight="1" x14ac:dyDescent="0.25">
      <c r="D300" s="63"/>
      <c r="E300" s="82"/>
      <c r="G300" s="63"/>
    </row>
    <row r="301" spans="4:7" ht="14.4" customHeight="1" x14ac:dyDescent="0.25">
      <c r="D301" s="63"/>
      <c r="E301" s="82"/>
      <c r="G301" s="63"/>
    </row>
    <row r="302" spans="4:7" ht="14.4" customHeight="1" x14ac:dyDescent="0.25">
      <c r="D302" s="63"/>
      <c r="E302" s="82"/>
      <c r="G302" s="63"/>
    </row>
    <row r="303" spans="4:7" ht="14.4" customHeight="1" x14ac:dyDescent="0.25">
      <c r="D303" s="63"/>
      <c r="E303" s="82"/>
      <c r="G303" s="63"/>
    </row>
    <row r="304" spans="4:7" ht="14.4" customHeight="1" x14ac:dyDescent="0.25">
      <c r="D304" s="63"/>
      <c r="E304" s="82"/>
      <c r="G304" s="63"/>
    </row>
    <row r="305" spans="4:7" ht="14.4" customHeight="1" x14ac:dyDescent="0.25">
      <c r="D305" s="63"/>
      <c r="E305" s="82"/>
      <c r="G305" s="63"/>
    </row>
    <row r="306" spans="4:7" ht="14.4" customHeight="1" x14ac:dyDescent="0.25">
      <c r="D306" s="63"/>
      <c r="E306" s="82"/>
      <c r="G306" s="63"/>
    </row>
    <row r="307" spans="4:7" ht="14.4" customHeight="1" x14ac:dyDescent="0.25">
      <c r="D307" s="63"/>
      <c r="E307" s="82"/>
      <c r="G307" s="63"/>
    </row>
    <row r="308" spans="4:7" ht="14.4" customHeight="1" x14ac:dyDescent="0.25">
      <c r="D308" s="63"/>
      <c r="E308" s="82"/>
      <c r="G308" s="63"/>
    </row>
    <row r="309" spans="4:7" ht="14.4" customHeight="1" x14ac:dyDescent="0.25">
      <c r="D309" s="63"/>
      <c r="E309" s="82"/>
      <c r="G309" s="63"/>
    </row>
    <row r="310" spans="4:7" ht="14.4" customHeight="1" x14ac:dyDescent="0.25">
      <c r="D310" s="63"/>
      <c r="E310" s="82"/>
      <c r="G310" s="63"/>
    </row>
    <row r="311" spans="4:7" ht="14.4" customHeight="1" x14ac:dyDescent="0.25">
      <c r="D311" s="63"/>
      <c r="E311" s="82"/>
      <c r="G311" s="63"/>
    </row>
    <row r="312" spans="4:7" ht="14.4" customHeight="1" x14ac:dyDescent="0.25">
      <c r="D312" s="63"/>
      <c r="E312" s="82"/>
      <c r="G312" s="63"/>
    </row>
    <row r="313" spans="4:7" ht="14.4" customHeight="1" x14ac:dyDescent="0.25">
      <c r="D313" s="63"/>
      <c r="E313" s="82"/>
      <c r="G313" s="63"/>
    </row>
    <row r="314" spans="4:7" ht="14.4" customHeight="1" x14ac:dyDescent="0.25">
      <c r="D314" s="63"/>
      <c r="E314" s="82"/>
      <c r="G314" s="63"/>
    </row>
    <row r="315" spans="4:7" ht="14.4" customHeight="1" x14ac:dyDescent="0.25">
      <c r="D315" s="63"/>
      <c r="E315" s="82"/>
      <c r="G315" s="63"/>
    </row>
    <row r="316" spans="4:7" ht="14.4" customHeight="1" x14ac:dyDescent="0.25">
      <c r="D316" s="63"/>
      <c r="E316" s="82"/>
      <c r="G316" s="63"/>
    </row>
    <row r="317" spans="4:7" ht="14.4" customHeight="1" x14ac:dyDescent="0.25">
      <c r="D317" s="63"/>
      <c r="E317" s="82"/>
      <c r="G317" s="63"/>
    </row>
    <row r="318" spans="4:7" ht="14.4" customHeight="1" x14ac:dyDescent="0.25">
      <c r="D318" s="63"/>
      <c r="E318" s="82"/>
      <c r="G318" s="63"/>
    </row>
    <row r="319" spans="4:7" ht="14.4" customHeight="1" x14ac:dyDescent="0.25">
      <c r="D319" s="63"/>
      <c r="E319" s="82"/>
      <c r="G319" s="63"/>
    </row>
    <row r="320" spans="4:7" ht="14.4" customHeight="1" x14ac:dyDescent="0.25">
      <c r="D320" s="63"/>
      <c r="E320" s="82"/>
      <c r="G320" s="63"/>
    </row>
    <row r="321" spans="4:7" ht="14.4" customHeight="1" x14ac:dyDescent="0.25">
      <c r="D321" s="63"/>
      <c r="E321" s="82"/>
      <c r="G321" s="63"/>
    </row>
    <row r="322" spans="4:7" ht="14.4" customHeight="1" x14ac:dyDescent="0.25">
      <c r="D322" s="63"/>
      <c r="E322" s="82"/>
      <c r="G322" s="63"/>
    </row>
    <row r="323" spans="4:7" ht="14.4" customHeight="1" x14ac:dyDescent="0.25">
      <c r="D323" s="63"/>
      <c r="E323" s="82"/>
      <c r="G323" s="63"/>
    </row>
    <row r="324" spans="4:7" ht="14.4" customHeight="1" x14ac:dyDescent="0.25">
      <c r="D324" s="63"/>
      <c r="E324" s="82"/>
      <c r="G324" s="63"/>
    </row>
    <row r="325" spans="4:7" ht="14.4" customHeight="1" x14ac:dyDescent="0.25">
      <c r="D325" s="63"/>
      <c r="E325" s="82"/>
      <c r="G325" s="63"/>
    </row>
    <row r="326" spans="4:7" ht="14.4" customHeight="1" x14ac:dyDescent="0.25">
      <c r="D326" s="63"/>
      <c r="E326" s="82"/>
      <c r="G326" s="63"/>
    </row>
    <row r="327" spans="4:7" ht="14.4" customHeight="1" x14ac:dyDescent="0.25">
      <c r="D327" s="63"/>
      <c r="E327" s="82"/>
      <c r="G327" s="63"/>
    </row>
    <row r="328" spans="4:7" ht="14.4" customHeight="1" x14ac:dyDescent="0.25">
      <c r="D328" s="63"/>
      <c r="E328" s="82"/>
      <c r="G328" s="63"/>
    </row>
    <row r="329" spans="4:7" ht="14.4" customHeight="1" x14ac:dyDescent="0.25">
      <c r="D329" s="63"/>
      <c r="E329" s="82"/>
      <c r="G329" s="63"/>
    </row>
    <row r="330" spans="4:7" ht="14.4" customHeight="1" x14ac:dyDescent="0.25">
      <c r="D330" s="63"/>
      <c r="E330" s="82"/>
      <c r="G330" s="63"/>
    </row>
    <row r="331" spans="4:7" ht="14.4" customHeight="1" x14ac:dyDescent="0.25">
      <c r="D331" s="63"/>
      <c r="E331" s="82"/>
      <c r="G331" s="63"/>
    </row>
    <row r="332" spans="4:7" ht="14.4" customHeight="1" x14ac:dyDescent="0.25">
      <c r="D332" s="63"/>
      <c r="E332" s="82"/>
      <c r="G332" s="63"/>
    </row>
    <row r="333" spans="4:7" ht="14.4" customHeight="1" x14ac:dyDescent="0.25">
      <c r="D333" s="63"/>
      <c r="E333" s="82"/>
      <c r="G333" s="63"/>
    </row>
    <row r="334" spans="4:7" ht="14.4" customHeight="1" x14ac:dyDescent="0.25">
      <c r="D334" s="63"/>
      <c r="E334" s="82"/>
      <c r="G334" s="63"/>
    </row>
    <row r="335" spans="4:7" ht="14.4" customHeight="1" x14ac:dyDescent="0.25">
      <c r="D335" s="63"/>
      <c r="E335" s="82"/>
      <c r="G335" s="63"/>
    </row>
    <row r="336" spans="4:7" ht="14.4" customHeight="1" x14ac:dyDescent="0.25">
      <c r="D336" s="63"/>
      <c r="E336" s="82"/>
      <c r="G336" s="63"/>
    </row>
    <row r="337" spans="4:7" ht="14.4" customHeight="1" x14ac:dyDescent="0.25">
      <c r="D337" s="63"/>
      <c r="E337" s="82"/>
      <c r="G337" s="63"/>
    </row>
    <row r="338" spans="4:7" ht="14.4" customHeight="1" x14ac:dyDescent="0.25">
      <c r="D338" s="63"/>
      <c r="E338" s="82"/>
      <c r="G338" s="63"/>
    </row>
    <row r="339" spans="4:7" ht="14.4" customHeight="1" x14ac:dyDescent="0.25">
      <c r="D339" s="63"/>
      <c r="E339" s="82"/>
      <c r="G339" s="63"/>
    </row>
    <row r="340" spans="4:7" ht="14.4" customHeight="1" x14ac:dyDescent="0.25">
      <c r="D340" s="63"/>
      <c r="E340" s="82"/>
      <c r="G340" s="63"/>
    </row>
    <row r="341" spans="4:7" ht="14.4" customHeight="1" x14ac:dyDescent="0.25">
      <c r="D341" s="63"/>
      <c r="E341" s="82"/>
      <c r="G341" s="63"/>
    </row>
    <row r="342" spans="4:7" ht="14.4" customHeight="1" x14ac:dyDescent="0.25">
      <c r="D342" s="63"/>
      <c r="E342" s="82"/>
      <c r="G342" s="63"/>
    </row>
    <row r="343" spans="4:7" ht="14.4" customHeight="1" x14ac:dyDescent="0.25">
      <c r="D343" s="63"/>
      <c r="E343" s="82"/>
      <c r="G343" s="63"/>
    </row>
    <row r="344" spans="4:7" ht="14.4" customHeight="1" x14ac:dyDescent="0.25">
      <c r="D344" s="63"/>
      <c r="E344" s="82"/>
      <c r="G344" s="63"/>
    </row>
    <row r="345" spans="4:7" ht="14.4" customHeight="1" x14ac:dyDescent="0.25">
      <c r="D345" s="63"/>
      <c r="E345" s="82"/>
      <c r="G345" s="63"/>
    </row>
    <row r="346" spans="4:7" ht="14.4" customHeight="1" x14ac:dyDescent="0.25">
      <c r="D346" s="63"/>
      <c r="E346" s="82"/>
      <c r="G346" s="63"/>
    </row>
    <row r="347" spans="4:7" ht="14.4" customHeight="1" x14ac:dyDescent="0.25">
      <c r="D347" s="63"/>
      <c r="E347" s="82"/>
      <c r="G347" s="63"/>
    </row>
    <row r="348" spans="4:7" ht="14.4" customHeight="1" x14ac:dyDescent="0.25">
      <c r="D348" s="63"/>
      <c r="E348" s="82"/>
      <c r="G348" s="63"/>
    </row>
    <row r="349" spans="4:7" ht="14.4" customHeight="1" x14ac:dyDescent="0.25">
      <c r="D349" s="63"/>
      <c r="E349" s="82"/>
      <c r="G349" s="63"/>
    </row>
    <row r="350" spans="4:7" ht="14.4" customHeight="1" x14ac:dyDescent="0.25">
      <c r="D350" s="63"/>
      <c r="E350" s="82"/>
      <c r="G350" s="63"/>
    </row>
    <row r="351" spans="4:7" ht="14.4" customHeight="1" x14ac:dyDescent="0.25">
      <c r="D351" s="63"/>
      <c r="E351" s="82"/>
      <c r="G351" s="63"/>
    </row>
    <row r="352" spans="4:7" ht="14.4" customHeight="1" x14ac:dyDescent="0.25">
      <c r="D352" s="63"/>
      <c r="E352" s="82"/>
      <c r="G352" s="63"/>
    </row>
    <row r="353" spans="4:7" ht="14.4" customHeight="1" x14ac:dyDescent="0.25">
      <c r="D353" s="63"/>
      <c r="E353" s="82"/>
      <c r="G353" s="63"/>
    </row>
    <row r="354" spans="4:7" ht="14.4" customHeight="1" x14ac:dyDescent="0.25">
      <c r="D354" s="63"/>
      <c r="E354" s="82"/>
      <c r="G354" s="63"/>
    </row>
    <row r="355" spans="4:7" ht="14.4" customHeight="1" x14ac:dyDescent="0.25">
      <c r="D355" s="63"/>
      <c r="E355" s="82"/>
      <c r="G355" s="63"/>
    </row>
    <row r="356" spans="4:7" ht="14.4" customHeight="1" x14ac:dyDescent="0.25">
      <c r="D356" s="63"/>
      <c r="E356" s="82"/>
      <c r="G356" s="63"/>
    </row>
    <row r="357" spans="4:7" ht="14.4" customHeight="1" x14ac:dyDescent="0.25">
      <c r="D357" s="63"/>
      <c r="E357" s="82"/>
      <c r="G357" s="63"/>
    </row>
    <row r="358" spans="4:7" ht="14.4" customHeight="1" x14ac:dyDescent="0.25">
      <c r="D358" s="63"/>
      <c r="E358" s="82"/>
      <c r="G358" s="63"/>
    </row>
    <row r="359" spans="4:7" ht="14.4" customHeight="1" x14ac:dyDescent="0.25">
      <c r="D359" s="63"/>
      <c r="E359" s="82"/>
      <c r="G359" s="63"/>
    </row>
    <row r="360" spans="4:7" ht="14.4" customHeight="1" x14ac:dyDescent="0.25">
      <c r="D360" s="63"/>
      <c r="E360" s="82"/>
      <c r="G360" s="63"/>
    </row>
    <row r="361" spans="4:7" ht="14.4" customHeight="1" x14ac:dyDescent="0.25">
      <c r="D361" s="63"/>
      <c r="E361" s="82"/>
      <c r="G361" s="63"/>
    </row>
    <row r="362" spans="4:7" ht="14.4" customHeight="1" x14ac:dyDescent="0.25">
      <c r="D362" s="63"/>
      <c r="E362" s="82"/>
      <c r="G362" s="63"/>
    </row>
    <row r="363" spans="4:7" ht="14.4" customHeight="1" x14ac:dyDescent="0.25">
      <c r="D363" s="63"/>
      <c r="E363" s="82"/>
      <c r="G363" s="63"/>
    </row>
    <row r="364" spans="4:7" ht="14.4" customHeight="1" x14ac:dyDescent="0.25">
      <c r="D364" s="63"/>
      <c r="E364" s="82"/>
      <c r="G364" s="63"/>
    </row>
    <row r="365" spans="4:7" ht="14.4" customHeight="1" x14ac:dyDescent="0.25">
      <c r="D365" s="63"/>
      <c r="E365" s="82"/>
      <c r="G365" s="63"/>
    </row>
    <row r="366" spans="4:7" ht="14.4" customHeight="1" x14ac:dyDescent="0.25">
      <c r="D366" s="63"/>
      <c r="E366" s="82"/>
      <c r="G366" s="63"/>
    </row>
    <row r="367" spans="4:7" ht="14.4" customHeight="1" x14ac:dyDescent="0.25">
      <c r="D367" s="63"/>
      <c r="E367" s="82"/>
      <c r="G367" s="63"/>
    </row>
    <row r="368" spans="4:7" ht="14.4" customHeight="1" x14ac:dyDescent="0.25">
      <c r="D368" s="63"/>
      <c r="E368" s="82"/>
      <c r="G368" s="63"/>
    </row>
    <row r="369" spans="4:7" ht="14.4" customHeight="1" x14ac:dyDescent="0.25">
      <c r="D369" s="63"/>
      <c r="E369" s="82"/>
      <c r="G369" s="63"/>
    </row>
    <row r="370" spans="4:7" ht="14.4" customHeight="1" x14ac:dyDescent="0.25">
      <c r="D370" s="63"/>
      <c r="E370" s="82"/>
      <c r="G370" s="63"/>
    </row>
    <row r="371" spans="4:7" ht="14.4" customHeight="1" x14ac:dyDescent="0.25">
      <c r="D371" s="63"/>
      <c r="E371" s="82"/>
      <c r="G371" s="63"/>
    </row>
    <row r="372" spans="4:7" ht="14.4" customHeight="1" x14ac:dyDescent="0.25">
      <c r="D372" s="63"/>
      <c r="E372" s="82"/>
      <c r="G372" s="63"/>
    </row>
    <row r="373" spans="4:7" ht="14.4" customHeight="1" x14ac:dyDescent="0.25">
      <c r="D373" s="63"/>
      <c r="E373" s="82"/>
      <c r="G373" s="63"/>
    </row>
    <row r="374" spans="4:7" ht="14.4" customHeight="1" x14ac:dyDescent="0.25">
      <c r="D374" s="63"/>
      <c r="E374" s="82"/>
      <c r="G374" s="63"/>
    </row>
    <row r="375" spans="4:7" ht="14.4" customHeight="1" x14ac:dyDescent="0.25">
      <c r="D375" s="63"/>
      <c r="E375" s="82"/>
      <c r="G375" s="63"/>
    </row>
    <row r="376" spans="4:7" ht="14.4" customHeight="1" x14ac:dyDescent="0.25">
      <c r="D376" s="63"/>
      <c r="E376" s="82"/>
      <c r="G376" s="63"/>
    </row>
    <row r="377" spans="4:7" ht="14.4" customHeight="1" x14ac:dyDescent="0.25">
      <c r="D377" s="63"/>
      <c r="E377" s="82"/>
      <c r="G377" s="63"/>
    </row>
    <row r="378" spans="4:7" ht="14.4" customHeight="1" x14ac:dyDescent="0.25">
      <c r="D378" s="63"/>
      <c r="E378" s="82"/>
      <c r="G378" s="63"/>
    </row>
    <row r="379" spans="4:7" ht="14.4" customHeight="1" x14ac:dyDescent="0.25">
      <c r="D379" s="63"/>
      <c r="E379" s="82"/>
      <c r="G379" s="63"/>
    </row>
    <row r="380" spans="4:7" ht="14.4" customHeight="1" x14ac:dyDescent="0.25">
      <c r="D380" s="63"/>
      <c r="E380" s="82"/>
      <c r="G380" s="63"/>
    </row>
    <row r="381" spans="4:7" ht="14.4" customHeight="1" x14ac:dyDescent="0.25">
      <c r="D381" s="63"/>
      <c r="E381" s="82"/>
      <c r="G381" s="63"/>
    </row>
    <row r="382" spans="4:7" ht="14.4" customHeight="1" x14ac:dyDescent="0.25">
      <c r="D382" s="63"/>
      <c r="E382" s="82"/>
      <c r="G382" s="63"/>
    </row>
    <row r="383" spans="4:7" ht="14.4" customHeight="1" x14ac:dyDescent="0.25">
      <c r="D383" s="63"/>
      <c r="E383" s="82"/>
      <c r="G383" s="63"/>
    </row>
    <row r="384" spans="4:7" ht="14.4" customHeight="1" x14ac:dyDescent="0.25">
      <c r="D384" s="63"/>
      <c r="E384" s="82"/>
      <c r="G384" s="63"/>
    </row>
    <row r="385" spans="4:7" ht="14.4" customHeight="1" x14ac:dyDescent="0.25">
      <c r="D385" s="63"/>
      <c r="E385" s="82"/>
      <c r="G385" s="63"/>
    </row>
    <row r="386" spans="4:7" ht="14.4" customHeight="1" x14ac:dyDescent="0.25">
      <c r="D386" s="63"/>
      <c r="E386" s="82"/>
      <c r="G386" s="63"/>
    </row>
    <row r="387" spans="4:7" ht="14.4" customHeight="1" x14ac:dyDescent="0.25">
      <c r="D387" s="63"/>
      <c r="E387" s="82"/>
      <c r="G387" s="63"/>
    </row>
    <row r="388" spans="4:7" ht="14.4" customHeight="1" x14ac:dyDescent="0.25">
      <c r="D388" s="63"/>
      <c r="E388" s="82"/>
      <c r="G388" s="63"/>
    </row>
    <row r="389" spans="4:7" ht="14.4" customHeight="1" x14ac:dyDescent="0.25">
      <c r="D389" s="63"/>
      <c r="E389" s="82"/>
      <c r="G389" s="63"/>
    </row>
    <row r="390" spans="4:7" ht="14.4" customHeight="1" x14ac:dyDescent="0.25">
      <c r="D390" s="63"/>
      <c r="E390" s="82"/>
      <c r="G390" s="63"/>
    </row>
    <row r="391" spans="4:7" ht="14.4" customHeight="1" x14ac:dyDescent="0.25">
      <c r="D391" s="63"/>
      <c r="E391" s="82"/>
      <c r="G391" s="63"/>
    </row>
    <row r="392" spans="4:7" ht="14.4" customHeight="1" x14ac:dyDescent="0.25">
      <c r="D392" s="63"/>
      <c r="E392" s="82"/>
      <c r="G392" s="63"/>
    </row>
    <row r="393" spans="4:7" ht="14.4" customHeight="1" x14ac:dyDescent="0.25">
      <c r="D393" s="63"/>
      <c r="E393" s="82"/>
      <c r="G393" s="63"/>
    </row>
    <row r="394" spans="4:7" ht="14.4" customHeight="1" x14ac:dyDescent="0.25">
      <c r="D394" s="63"/>
      <c r="E394" s="82"/>
      <c r="G394" s="63"/>
    </row>
    <row r="395" spans="4:7" ht="14.4" customHeight="1" x14ac:dyDescent="0.25">
      <c r="D395" s="63"/>
      <c r="E395" s="82"/>
      <c r="G395" s="63"/>
    </row>
    <row r="396" spans="4:7" ht="14.4" customHeight="1" x14ac:dyDescent="0.25">
      <c r="D396" s="63"/>
      <c r="E396" s="82"/>
      <c r="G396" s="63"/>
    </row>
    <row r="397" spans="4:7" ht="14.4" customHeight="1" x14ac:dyDescent="0.25">
      <c r="D397" s="63"/>
      <c r="E397" s="82"/>
      <c r="G397" s="63"/>
    </row>
    <row r="398" spans="4:7" ht="14.4" customHeight="1" x14ac:dyDescent="0.25">
      <c r="D398" s="63"/>
      <c r="E398" s="82"/>
      <c r="G398" s="63"/>
    </row>
    <row r="399" spans="4:7" ht="14.4" customHeight="1" x14ac:dyDescent="0.25">
      <c r="D399" s="63"/>
      <c r="E399" s="82"/>
      <c r="G399" s="63"/>
    </row>
    <row r="400" spans="4:7" ht="14.4" customHeight="1" x14ac:dyDescent="0.25">
      <c r="D400" s="63"/>
      <c r="E400" s="82"/>
      <c r="G400" s="63"/>
    </row>
    <row r="401" spans="4:7" ht="14.4" customHeight="1" x14ac:dyDescent="0.25">
      <c r="D401" s="63"/>
      <c r="E401" s="82"/>
      <c r="G401" s="63"/>
    </row>
    <row r="402" spans="4:7" ht="14.4" customHeight="1" x14ac:dyDescent="0.25">
      <c r="D402" s="63"/>
      <c r="E402" s="82"/>
      <c r="G402" s="63"/>
    </row>
    <row r="403" spans="4:7" ht="14.4" customHeight="1" x14ac:dyDescent="0.25">
      <c r="D403" s="63"/>
      <c r="E403" s="82"/>
      <c r="G403" s="63"/>
    </row>
    <row r="404" spans="4:7" ht="14.4" customHeight="1" x14ac:dyDescent="0.25">
      <c r="D404" s="63"/>
      <c r="E404" s="82"/>
      <c r="G404" s="63"/>
    </row>
    <row r="405" spans="4:7" ht="14.4" customHeight="1" x14ac:dyDescent="0.25">
      <c r="D405" s="63"/>
      <c r="E405" s="82"/>
      <c r="G405" s="63"/>
    </row>
    <row r="406" spans="4:7" ht="14.4" customHeight="1" x14ac:dyDescent="0.25">
      <c r="D406" s="63"/>
      <c r="E406" s="82"/>
      <c r="G406" s="63"/>
    </row>
    <row r="407" spans="4:7" ht="14.4" customHeight="1" x14ac:dyDescent="0.25">
      <c r="D407" s="63"/>
      <c r="E407" s="82"/>
      <c r="G407" s="63"/>
    </row>
    <row r="408" spans="4:7" ht="14.4" customHeight="1" x14ac:dyDescent="0.25">
      <c r="D408" s="63"/>
      <c r="E408" s="82"/>
      <c r="G408" s="63"/>
    </row>
    <row r="409" spans="4:7" ht="14.4" customHeight="1" x14ac:dyDescent="0.25">
      <c r="D409" s="63"/>
      <c r="E409" s="82"/>
      <c r="G409" s="63"/>
    </row>
    <row r="410" spans="4:7" ht="14.4" customHeight="1" x14ac:dyDescent="0.25">
      <c r="D410" s="63"/>
      <c r="E410" s="82"/>
      <c r="G410" s="63"/>
    </row>
    <row r="411" spans="4:7" ht="14.4" customHeight="1" x14ac:dyDescent="0.25">
      <c r="D411" s="63"/>
      <c r="E411" s="82"/>
      <c r="G411" s="63"/>
    </row>
    <row r="412" spans="4:7" ht="14.4" customHeight="1" x14ac:dyDescent="0.25">
      <c r="D412" s="63"/>
      <c r="E412" s="82"/>
      <c r="G412" s="63"/>
    </row>
    <row r="413" spans="4:7" ht="14.4" customHeight="1" x14ac:dyDescent="0.25">
      <c r="D413" s="63"/>
      <c r="E413" s="82"/>
      <c r="G413" s="63"/>
    </row>
    <row r="414" spans="4:7" ht="14.4" customHeight="1" x14ac:dyDescent="0.25">
      <c r="D414" s="63"/>
      <c r="E414" s="82"/>
      <c r="G414" s="63"/>
    </row>
    <row r="415" spans="4:7" ht="14.4" customHeight="1" x14ac:dyDescent="0.25">
      <c r="D415" s="63"/>
      <c r="E415" s="82"/>
      <c r="G415" s="63"/>
    </row>
    <row r="416" spans="4:7" ht="14.4" customHeight="1" x14ac:dyDescent="0.25">
      <c r="D416" s="63"/>
      <c r="E416" s="82"/>
      <c r="G416" s="63"/>
    </row>
    <row r="417" spans="4:7" ht="14.4" customHeight="1" x14ac:dyDescent="0.25">
      <c r="D417" s="63"/>
      <c r="E417" s="82"/>
      <c r="G417" s="63"/>
    </row>
    <row r="418" spans="4:7" ht="14.4" customHeight="1" x14ac:dyDescent="0.25">
      <c r="D418" s="63"/>
      <c r="E418" s="82"/>
      <c r="G418" s="63"/>
    </row>
    <row r="419" spans="4:7" ht="14.4" customHeight="1" x14ac:dyDescent="0.25">
      <c r="D419" s="63"/>
      <c r="E419" s="82"/>
      <c r="G419" s="63"/>
    </row>
    <row r="420" spans="4:7" ht="14.4" customHeight="1" x14ac:dyDescent="0.25">
      <c r="D420" s="63"/>
      <c r="E420" s="82"/>
      <c r="G420" s="63"/>
    </row>
    <row r="421" spans="4:7" ht="14.4" customHeight="1" x14ac:dyDescent="0.25">
      <c r="D421" s="63"/>
      <c r="E421" s="82"/>
      <c r="G421" s="63"/>
    </row>
    <row r="422" spans="4:7" ht="14.4" customHeight="1" x14ac:dyDescent="0.25">
      <c r="D422" s="63"/>
      <c r="E422" s="82"/>
      <c r="G422" s="63"/>
    </row>
    <row r="423" spans="4:7" ht="14.4" customHeight="1" x14ac:dyDescent="0.25">
      <c r="D423" s="63"/>
      <c r="E423" s="82"/>
      <c r="G423" s="63"/>
    </row>
    <row r="424" spans="4:7" ht="14.4" customHeight="1" x14ac:dyDescent="0.25">
      <c r="D424" s="63"/>
      <c r="E424" s="82"/>
      <c r="G424" s="63"/>
    </row>
    <row r="425" spans="4:7" ht="14.4" customHeight="1" x14ac:dyDescent="0.25">
      <c r="D425" s="63"/>
      <c r="E425" s="82"/>
      <c r="G425" s="63"/>
    </row>
    <row r="426" spans="4:7" ht="14.4" customHeight="1" x14ac:dyDescent="0.25">
      <c r="D426" s="63"/>
      <c r="E426" s="82"/>
      <c r="G426" s="63"/>
    </row>
    <row r="427" spans="4:7" ht="14.4" customHeight="1" x14ac:dyDescent="0.25">
      <c r="D427" s="63"/>
      <c r="E427" s="82"/>
      <c r="G427" s="63"/>
    </row>
    <row r="428" spans="4:7" ht="14.4" customHeight="1" x14ac:dyDescent="0.25">
      <c r="D428" s="63"/>
      <c r="E428" s="82"/>
      <c r="G428" s="63"/>
    </row>
    <row r="429" spans="4:7" ht="14.4" customHeight="1" x14ac:dyDescent="0.25">
      <c r="D429" s="63"/>
      <c r="E429" s="82"/>
      <c r="G429" s="63"/>
    </row>
    <row r="430" spans="4:7" ht="14.4" customHeight="1" x14ac:dyDescent="0.25">
      <c r="D430" s="63"/>
      <c r="E430" s="82"/>
      <c r="G430" s="63"/>
    </row>
    <row r="431" spans="4:7" ht="14.4" customHeight="1" x14ac:dyDescent="0.25">
      <c r="D431" s="63"/>
      <c r="E431" s="82"/>
      <c r="G431" s="63"/>
    </row>
    <row r="432" spans="4:7" ht="14.4" customHeight="1" x14ac:dyDescent="0.25">
      <c r="D432" s="63"/>
      <c r="E432" s="82"/>
      <c r="G432" s="63"/>
    </row>
    <row r="433" spans="4:7" ht="14.4" customHeight="1" x14ac:dyDescent="0.25">
      <c r="D433" s="63"/>
      <c r="E433" s="82"/>
      <c r="G433" s="63"/>
    </row>
    <row r="434" spans="4:7" ht="14.4" customHeight="1" x14ac:dyDescent="0.25">
      <c r="D434" s="63"/>
      <c r="E434" s="82"/>
      <c r="G434" s="63"/>
    </row>
    <row r="435" spans="4:7" ht="14.4" customHeight="1" x14ac:dyDescent="0.25">
      <c r="D435" s="63"/>
      <c r="E435" s="82"/>
      <c r="G435" s="63"/>
    </row>
    <row r="436" spans="4:7" ht="14.4" customHeight="1" x14ac:dyDescent="0.25">
      <c r="D436" s="63"/>
      <c r="E436" s="82"/>
      <c r="G436" s="63"/>
    </row>
    <row r="437" spans="4:7" ht="14.4" customHeight="1" x14ac:dyDescent="0.25">
      <c r="D437" s="63"/>
      <c r="E437" s="82"/>
      <c r="G437" s="63"/>
    </row>
    <row r="438" spans="4:7" ht="14.4" customHeight="1" x14ac:dyDescent="0.25">
      <c r="D438" s="63"/>
      <c r="E438" s="82"/>
      <c r="G438" s="63"/>
    </row>
    <row r="439" spans="4:7" ht="14.4" customHeight="1" x14ac:dyDescent="0.25">
      <c r="D439" s="63"/>
      <c r="E439" s="82"/>
      <c r="G439" s="63"/>
    </row>
    <row r="440" spans="4:7" ht="14.4" customHeight="1" x14ac:dyDescent="0.25">
      <c r="D440" s="63"/>
      <c r="E440" s="82"/>
      <c r="G440" s="63"/>
    </row>
    <row r="441" spans="4:7" ht="14.4" customHeight="1" x14ac:dyDescent="0.25">
      <c r="D441" s="63"/>
      <c r="E441" s="82"/>
      <c r="G441" s="63"/>
    </row>
    <row r="442" spans="4:7" ht="14.4" customHeight="1" x14ac:dyDescent="0.25">
      <c r="D442" s="63"/>
      <c r="E442" s="82"/>
      <c r="G442" s="63"/>
    </row>
    <row r="443" spans="4:7" ht="14.4" customHeight="1" x14ac:dyDescent="0.25">
      <c r="D443" s="63"/>
      <c r="E443" s="82"/>
      <c r="G443" s="63"/>
    </row>
    <row r="444" spans="4:7" ht="14.4" customHeight="1" x14ac:dyDescent="0.25">
      <c r="D444" s="63"/>
      <c r="E444" s="82"/>
      <c r="G444" s="63"/>
    </row>
    <row r="445" spans="4:7" ht="14.4" customHeight="1" x14ac:dyDescent="0.25">
      <c r="D445" s="63"/>
      <c r="E445" s="82"/>
      <c r="G445" s="63"/>
    </row>
    <row r="446" spans="4:7" ht="14.4" customHeight="1" x14ac:dyDescent="0.25">
      <c r="D446" s="63"/>
      <c r="E446" s="82"/>
      <c r="G446" s="63"/>
    </row>
    <row r="447" spans="4:7" ht="14.4" customHeight="1" x14ac:dyDescent="0.25">
      <c r="D447" s="63"/>
      <c r="E447" s="82"/>
      <c r="G447" s="63"/>
    </row>
    <row r="448" spans="4:7" ht="14.4" customHeight="1" x14ac:dyDescent="0.25">
      <c r="D448" s="63"/>
      <c r="E448" s="82"/>
      <c r="G448" s="63"/>
    </row>
    <row r="449" spans="4:7" ht="14.4" customHeight="1" x14ac:dyDescent="0.25">
      <c r="D449" s="63"/>
      <c r="E449" s="82"/>
      <c r="G449" s="63"/>
    </row>
    <row r="450" spans="4:7" ht="14.4" customHeight="1" x14ac:dyDescent="0.25">
      <c r="D450" s="63"/>
      <c r="E450" s="82"/>
      <c r="G450" s="63"/>
    </row>
    <row r="451" spans="4:7" ht="14.4" customHeight="1" x14ac:dyDescent="0.25">
      <c r="D451" s="63"/>
      <c r="E451" s="82"/>
      <c r="G451" s="63"/>
    </row>
    <row r="452" spans="4:7" ht="14.4" customHeight="1" x14ac:dyDescent="0.25">
      <c r="D452" s="63"/>
      <c r="E452" s="82"/>
      <c r="G452" s="63"/>
    </row>
    <row r="453" spans="4:7" ht="14.4" customHeight="1" x14ac:dyDescent="0.25">
      <c r="D453" s="63"/>
      <c r="E453" s="82"/>
      <c r="G453" s="63"/>
    </row>
    <row r="454" spans="4:7" ht="14.4" customHeight="1" x14ac:dyDescent="0.25">
      <c r="D454" s="63"/>
      <c r="E454" s="82"/>
      <c r="G454" s="63"/>
    </row>
    <row r="455" spans="4:7" ht="14.4" customHeight="1" x14ac:dyDescent="0.25">
      <c r="D455" s="63"/>
      <c r="E455" s="82"/>
      <c r="G455" s="63"/>
    </row>
    <row r="456" spans="4:7" ht="14.4" customHeight="1" x14ac:dyDescent="0.25">
      <c r="D456" s="63"/>
      <c r="E456" s="82"/>
      <c r="G456" s="63"/>
    </row>
    <row r="457" spans="4:7" ht="14.4" customHeight="1" x14ac:dyDescent="0.25">
      <c r="D457" s="63"/>
      <c r="E457" s="82"/>
      <c r="G457" s="63"/>
    </row>
    <row r="458" spans="4:7" ht="14.4" customHeight="1" x14ac:dyDescent="0.25">
      <c r="D458" s="63"/>
      <c r="E458" s="82"/>
      <c r="G458" s="63"/>
    </row>
    <row r="459" spans="4:7" ht="14.4" customHeight="1" x14ac:dyDescent="0.25">
      <c r="D459" s="63"/>
      <c r="E459" s="82"/>
      <c r="G459" s="63"/>
    </row>
    <row r="460" spans="4:7" ht="14.4" customHeight="1" x14ac:dyDescent="0.25">
      <c r="D460" s="63"/>
      <c r="E460" s="82"/>
      <c r="G460" s="63"/>
    </row>
    <row r="461" spans="4:7" ht="14.4" customHeight="1" x14ac:dyDescent="0.25">
      <c r="D461" s="63"/>
      <c r="E461" s="82"/>
      <c r="G461" s="63"/>
    </row>
    <row r="462" spans="4:7" ht="14.4" customHeight="1" x14ac:dyDescent="0.25">
      <c r="D462" s="63"/>
      <c r="E462" s="82"/>
      <c r="G462" s="63"/>
    </row>
    <row r="463" spans="4:7" ht="14.4" customHeight="1" x14ac:dyDescent="0.25">
      <c r="D463" s="63"/>
      <c r="E463" s="82"/>
      <c r="G463" s="63"/>
    </row>
    <row r="464" spans="4:7" ht="14.4" customHeight="1" x14ac:dyDescent="0.25">
      <c r="D464" s="63"/>
      <c r="E464" s="82"/>
      <c r="G464" s="63"/>
    </row>
    <row r="465" spans="4:7" ht="14.4" customHeight="1" x14ac:dyDescent="0.25">
      <c r="D465" s="63"/>
      <c r="E465" s="82"/>
      <c r="G465" s="63"/>
    </row>
    <row r="466" spans="4:7" ht="14.4" customHeight="1" x14ac:dyDescent="0.25">
      <c r="D466" s="63"/>
      <c r="E466" s="82"/>
      <c r="G466" s="63"/>
    </row>
    <row r="467" spans="4:7" ht="14.4" customHeight="1" x14ac:dyDescent="0.25">
      <c r="D467" s="63"/>
      <c r="E467" s="82"/>
      <c r="G467" s="63"/>
    </row>
    <row r="468" spans="4:7" ht="14.4" customHeight="1" x14ac:dyDescent="0.25">
      <c r="D468" s="63"/>
      <c r="E468" s="82"/>
      <c r="G468" s="63"/>
    </row>
    <row r="469" spans="4:7" ht="14.4" customHeight="1" x14ac:dyDescent="0.25">
      <c r="D469" s="63"/>
      <c r="E469" s="82"/>
      <c r="G469" s="63"/>
    </row>
    <row r="470" spans="4:7" ht="14.4" customHeight="1" x14ac:dyDescent="0.25">
      <c r="D470" s="63"/>
      <c r="E470" s="82"/>
      <c r="G470" s="63"/>
    </row>
    <row r="471" spans="4:7" ht="14.4" customHeight="1" x14ac:dyDescent="0.25">
      <c r="D471" s="63"/>
      <c r="E471" s="82"/>
      <c r="G471" s="63"/>
    </row>
    <row r="472" spans="4:7" ht="14.4" customHeight="1" x14ac:dyDescent="0.25">
      <c r="D472" s="63"/>
      <c r="E472" s="82"/>
      <c r="G472" s="63"/>
    </row>
    <row r="473" spans="4:7" ht="14.4" customHeight="1" x14ac:dyDescent="0.25">
      <c r="D473" s="63"/>
      <c r="E473" s="82"/>
      <c r="G473" s="63"/>
    </row>
    <row r="474" spans="4:7" ht="14.4" customHeight="1" x14ac:dyDescent="0.25">
      <c r="D474" s="63"/>
      <c r="E474" s="82"/>
      <c r="G474" s="63"/>
    </row>
    <row r="475" spans="4:7" ht="14.4" customHeight="1" x14ac:dyDescent="0.25">
      <c r="D475" s="63"/>
      <c r="E475" s="82"/>
      <c r="G475" s="63"/>
    </row>
    <row r="476" spans="4:7" ht="14.4" customHeight="1" x14ac:dyDescent="0.25">
      <c r="D476" s="63"/>
      <c r="E476" s="82"/>
      <c r="G476" s="63"/>
    </row>
    <row r="477" spans="4:7" ht="14.4" customHeight="1" x14ac:dyDescent="0.25">
      <c r="D477" s="63"/>
      <c r="E477" s="82"/>
      <c r="G477" s="63"/>
    </row>
    <row r="478" spans="4:7" ht="14.4" customHeight="1" x14ac:dyDescent="0.25">
      <c r="D478" s="63"/>
      <c r="E478" s="82"/>
      <c r="G478" s="63"/>
    </row>
    <row r="479" spans="4:7" ht="14.4" customHeight="1" x14ac:dyDescent="0.25">
      <c r="D479" s="63"/>
      <c r="E479" s="82"/>
      <c r="G479" s="63"/>
    </row>
    <row r="480" spans="4:7" ht="14.4" customHeight="1" x14ac:dyDescent="0.25">
      <c r="D480" s="63"/>
      <c r="E480" s="82"/>
      <c r="G480" s="63"/>
    </row>
    <row r="481" spans="4:7" ht="14.4" customHeight="1" x14ac:dyDescent="0.25">
      <c r="D481" s="63"/>
      <c r="E481" s="82"/>
      <c r="G481" s="63"/>
    </row>
    <row r="482" spans="4:7" ht="14.4" customHeight="1" x14ac:dyDescent="0.25">
      <c r="D482" s="63"/>
      <c r="E482" s="82"/>
      <c r="G482" s="63"/>
    </row>
    <row r="483" spans="4:7" ht="14.4" customHeight="1" x14ac:dyDescent="0.25">
      <c r="D483" s="63"/>
      <c r="E483" s="82"/>
      <c r="G483" s="63"/>
    </row>
    <row r="484" spans="4:7" ht="14.4" customHeight="1" x14ac:dyDescent="0.25">
      <c r="D484" s="63"/>
      <c r="E484" s="82"/>
      <c r="G484" s="63"/>
    </row>
    <row r="485" spans="4:7" ht="14.4" customHeight="1" x14ac:dyDescent="0.25">
      <c r="D485" s="63"/>
      <c r="E485" s="82"/>
      <c r="G485" s="63"/>
    </row>
    <row r="486" spans="4:7" ht="14.4" customHeight="1" x14ac:dyDescent="0.25">
      <c r="D486" s="63"/>
      <c r="E486" s="82"/>
      <c r="G486" s="63"/>
    </row>
    <row r="487" spans="4:7" ht="14.4" customHeight="1" x14ac:dyDescent="0.25">
      <c r="D487" s="63"/>
      <c r="E487" s="82"/>
      <c r="G487" s="63"/>
    </row>
    <row r="488" spans="4:7" ht="14.4" customHeight="1" x14ac:dyDescent="0.25">
      <c r="D488" s="63"/>
      <c r="E488" s="82"/>
      <c r="G488" s="63"/>
    </row>
    <row r="489" spans="4:7" ht="14.4" customHeight="1" x14ac:dyDescent="0.25">
      <c r="D489" s="63"/>
      <c r="E489" s="82"/>
      <c r="G489" s="63"/>
    </row>
    <row r="490" spans="4:7" ht="14.4" customHeight="1" x14ac:dyDescent="0.25">
      <c r="D490" s="63"/>
      <c r="E490" s="82"/>
      <c r="G490" s="63"/>
    </row>
    <row r="491" spans="4:7" ht="14.4" customHeight="1" x14ac:dyDescent="0.25">
      <c r="D491" s="63"/>
      <c r="E491" s="82"/>
      <c r="G491" s="63"/>
    </row>
    <row r="492" spans="4:7" ht="14.4" customHeight="1" x14ac:dyDescent="0.25">
      <c r="D492" s="63"/>
      <c r="E492" s="82"/>
      <c r="G492" s="63"/>
    </row>
    <row r="493" spans="4:7" ht="14.4" customHeight="1" x14ac:dyDescent="0.25">
      <c r="D493" s="63"/>
      <c r="E493" s="82"/>
      <c r="G493" s="63"/>
    </row>
    <row r="494" spans="4:7" ht="14.4" customHeight="1" x14ac:dyDescent="0.25">
      <c r="D494" s="63"/>
      <c r="E494" s="82"/>
      <c r="G494" s="63"/>
    </row>
    <row r="495" spans="4:7" ht="14.4" customHeight="1" x14ac:dyDescent="0.25">
      <c r="D495" s="63"/>
      <c r="E495" s="82"/>
      <c r="G495" s="63"/>
    </row>
    <row r="496" spans="4:7" ht="14.4" customHeight="1" x14ac:dyDescent="0.25">
      <c r="D496" s="63"/>
      <c r="E496" s="82"/>
      <c r="G496" s="63"/>
    </row>
    <row r="497" spans="4:7" ht="14.4" customHeight="1" x14ac:dyDescent="0.25">
      <c r="D497" s="63"/>
      <c r="E497" s="82"/>
      <c r="G497" s="63"/>
    </row>
    <row r="498" spans="4:7" ht="14.4" customHeight="1" x14ac:dyDescent="0.25">
      <c r="D498" s="63"/>
      <c r="E498" s="82"/>
      <c r="G498" s="63"/>
    </row>
    <row r="499" spans="4:7" ht="14.4" customHeight="1" x14ac:dyDescent="0.25">
      <c r="D499" s="63"/>
      <c r="E499" s="82"/>
      <c r="G499" s="63"/>
    </row>
    <row r="500" spans="4:7" ht="14.4" customHeight="1" x14ac:dyDescent="0.25">
      <c r="D500" s="63"/>
      <c r="E500" s="82"/>
      <c r="G500" s="63"/>
    </row>
    <row r="501" spans="4:7" ht="14.4" customHeight="1" x14ac:dyDescent="0.25">
      <c r="D501" s="63"/>
      <c r="E501" s="82"/>
      <c r="G501" s="63"/>
    </row>
    <row r="502" spans="4:7" ht="14.4" customHeight="1" x14ac:dyDescent="0.25">
      <c r="D502" s="63"/>
      <c r="E502" s="82"/>
      <c r="G502" s="63"/>
    </row>
    <row r="503" spans="4:7" ht="14.4" customHeight="1" x14ac:dyDescent="0.25">
      <c r="D503" s="63"/>
      <c r="E503" s="82"/>
      <c r="G503" s="63"/>
    </row>
    <row r="504" spans="4:7" ht="14.4" customHeight="1" x14ac:dyDescent="0.25">
      <c r="D504" s="63"/>
      <c r="E504" s="82"/>
      <c r="G504" s="63"/>
    </row>
    <row r="505" spans="4:7" ht="14.4" customHeight="1" x14ac:dyDescent="0.25">
      <c r="D505" s="63"/>
      <c r="E505" s="82"/>
      <c r="G505" s="63"/>
    </row>
    <row r="506" spans="4:7" ht="14.4" customHeight="1" x14ac:dyDescent="0.25">
      <c r="D506" s="63"/>
      <c r="E506" s="82"/>
      <c r="G506" s="63"/>
    </row>
    <row r="507" spans="4:7" ht="14.4" customHeight="1" x14ac:dyDescent="0.25">
      <c r="D507" s="63"/>
      <c r="E507" s="82"/>
      <c r="G507" s="63"/>
    </row>
    <row r="508" spans="4:7" ht="14.4" customHeight="1" x14ac:dyDescent="0.25">
      <c r="D508" s="63"/>
      <c r="E508" s="82"/>
      <c r="G508" s="63"/>
    </row>
    <row r="509" spans="4:7" ht="14.4" customHeight="1" x14ac:dyDescent="0.25">
      <c r="D509" s="63"/>
      <c r="E509" s="82"/>
      <c r="G509" s="63"/>
    </row>
    <row r="510" spans="4:7" ht="14.4" customHeight="1" x14ac:dyDescent="0.25">
      <c r="D510" s="63"/>
      <c r="E510" s="82"/>
      <c r="G510" s="63"/>
    </row>
    <row r="511" spans="4:7" ht="14.4" customHeight="1" x14ac:dyDescent="0.25">
      <c r="D511" s="63"/>
      <c r="E511" s="82"/>
      <c r="G511" s="63"/>
    </row>
    <row r="512" spans="4:7" ht="14.4" customHeight="1" x14ac:dyDescent="0.25">
      <c r="D512" s="63"/>
      <c r="E512" s="82"/>
      <c r="G512" s="63"/>
    </row>
    <row r="513" spans="4:7" ht="14.4" customHeight="1" x14ac:dyDescent="0.25">
      <c r="D513" s="63"/>
      <c r="E513" s="82"/>
      <c r="G513" s="63"/>
    </row>
    <row r="514" spans="4:7" ht="14.4" customHeight="1" x14ac:dyDescent="0.25">
      <c r="D514" s="63"/>
      <c r="E514" s="82"/>
      <c r="G514" s="63"/>
    </row>
    <row r="515" spans="4:7" ht="14.4" customHeight="1" x14ac:dyDescent="0.25">
      <c r="D515" s="63"/>
      <c r="E515" s="82"/>
      <c r="G515" s="63"/>
    </row>
    <row r="516" spans="4:7" ht="14.4" customHeight="1" x14ac:dyDescent="0.25">
      <c r="D516" s="63"/>
      <c r="E516" s="82"/>
      <c r="G516" s="63"/>
    </row>
    <row r="517" spans="4:7" ht="14.4" customHeight="1" x14ac:dyDescent="0.25">
      <c r="D517" s="63"/>
      <c r="E517" s="82"/>
      <c r="G517" s="63"/>
    </row>
    <row r="518" spans="4:7" ht="14.4" customHeight="1" x14ac:dyDescent="0.25">
      <c r="D518" s="63"/>
      <c r="E518" s="82"/>
      <c r="G518" s="63"/>
    </row>
    <row r="519" spans="4:7" ht="14.4" customHeight="1" x14ac:dyDescent="0.25">
      <c r="D519" s="63"/>
      <c r="E519" s="82"/>
      <c r="G519" s="63"/>
    </row>
    <row r="520" spans="4:7" ht="14.4" customHeight="1" x14ac:dyDescent="0.25">
      <c r="D520" s="63"/>
      <c r="E520" s="82"/>
      <c r="G520" s="63"/>
    </row>
    <row r="521" spans="4:7" ht="14.4" customHeight="1" x14ac:dyDescent="0.25">
      <c r="D521" s="63"/>
      <c r="E521" s="82"/>
      <c r="G521" s="63"/>
    </row>
    <row r="522" spans="4:7" ht="14.4" customHeight="1" x14ac:dyDescent="0.25">
      <c r="D522" s="63"/>
      <c r="E522" s="82"/>
      <c r="G522" s="63"/>
    </row>
    <row r="523" spans="4:7" ht="14.4" customHeight="1" x14ac:dyDescent="0.25">
      <c r="D523" s="63"/>
      <c r="E523" s="82"/>
      <c r="G523" s="63"/>
    </row>
    <row r="524" spans="4:7" ht="14.4" customHeight="1" x14ac:dyDescent="0.25">
      <c r="D524" s="63"/>
      <c r="E524" s="82"/>
      <c r="G524" s="63"/>
    </row>
    <row r="525" spans="4:7" ht="14.4" customHeight="1" x14ac:dyDescent="0.25">
      <c r="D525" s="63"/>
      <c r="E525" s="82"/>
      <c r="G525" s="63"/>
    </row>
    <row r="526" spans="4:7" ht="14.4" customHeight="1" x14ac:dyDescent="0.25">
      <c r="D526" s="63"/>
      <c r="E526" s="82"/>
      <c r="G526" s="63"/>
    </row>
    <row r="527" spans="4:7" ht="14.4" customHeight="1" x14ac:dyDescent="0.25">
      <c r="D527" s="63"/>
      <c r="E527" s="82"/>
      <c r="G527" s="63"/>
    </row>
    <row r="528" spans="4:7" ht="14.4" customHeight="1" x14ac:dyDescent="0.25">
      <c r="D528" s="63"/>
      <c r="E528" s="82"/>
      <c r="G528" s="63"/>
    </row>
    <row r="529" spans="4:7" ht="14.4" customHeight="1" x14ac:dyDescent="0.25">
      <c r="D529" s="63"/>
      <c r="E529" s="82"/>
      <c r="G529" s="63"/>
    </row>
    <row r="530" spans="4:7" ht="14.4" customHeight="1" x14ac:dyDescent="0.25">
      <c r="D530" s="63"/>
      <c r="E530" s="82"/>
      <c r="G530" s="63"/>
    </row>
    <row r="531" spans="4:7" ht="14.4" customHeight="1" x14ac:dyDescent="0.25">
      <c r="D531" s="63"/>
      <c r="E531" s="82"/>
      <c r="G531" s="63"/>
    </row>
    <row r="532" spans="4:7" ht="14.4" customHeight="1" x14ac:dyDescent="0.25">
      <c r="D532" s="63"/>
      <c r="E532" s="82"/>
      <c r="G532" s="63"/>
    </row>
    <row r="533" spans="4:7" ht="14.4" customHeight="1" x14ac:dyDescent="0.25">
      <c r="D533" s="63"/>
      <c r="E533" s="82"/>
      <c r="G533" s="63"/>
    </row>
    <row r="534" spans="4:7" ht="14.4" customHeight="1" x14ac:dyDescent="0.25">
      <c r="D534" s="63"/>
      <c r="E534" s="82"/>
      <c r="G534" s="63"/>
    </row>
    <row r="535" spans="4:7" ht="14.4" customHeight="1" x14ac:dyDescent="0.25">
      <c r="D535" s="63"/>
      <c r="E535" s="82"/>
      <c r="G535" s="63"/>
    </row>
    <row r="536" spans="4:7" ht="14.4" customHeight="1" x14ac:dyDescent="0.25">
      <c r="D536" s="63"/>
      <c r="E536" s="82"/>
      <c r="G536" s="63"/>
    </row>
    <row r="537" spans="4:7" ht="14.4" customHeight="1" x14ac:dyDescent="0.25">
      <c r="D537" s="63"/>
      <c r="E537" s="82"/>
      <c r="G537" s="63"/>
    </row>
    <row r="538" spans="4:7" ht="14.4" customHeight="1" x14ac:dyDescent="0.25">
      <c r="D538" s="63"/>
      <c r="E538" s="82"/>
      <c r="G538" s="63"/>
    </row>
    <row r="539" spans="4:7" ht="14.4" customHeight="1" x14ac:dyDescent="0.25">
      <c r="D539" s="63"/>
      <c r="E539" s="82"/>
      <c r="G539" s="63"/>
    </row>
    <row r="540" spans="4:7" ht="14.4" customHeight="1" x14ac:dyDescent="0.25">
      <c r="D540" s="63"/>
      <c r="E540" s="82"/>
      <c r="G540" s="63"/>
    </row>
    <row r="541" spans="4:7" ht="14.4" customHeight="1" x14ac:dyDescent="0.25">
      <c r="D541" s="63"/>
      <c r="E541" s="82"/>
      <c r="G541" s="63"/>
    </row>
    <row r="542" spans="4:7" ht="14.4" customHeight="1" x14ac:dyDescent="0.25">
      <c r="D542" s="63"/>
      <c r="E542" s="82"/>
      <c r="G542" s="63"/>
    </row>
    <row r="543" spans="4:7" ht="14.4" customHeight="1" x14ac:dyDescent="0.25">
      <c r="D543" s="63"/>
      <c r="E543" s="82"/>
      <c r="G543" s="63"/>
    </row>
    <row r="544" spans="4:7" ht="14.4" customHeight="1" x14ac:dyDescent="0.25">
      <c r="D544" s="63"/>
      <c r="E544" s="82"/>
      <c r="G544" s="63"/>
    </row>
    <row r="545" spans="4:7" ht="14.4" customHeight="1" x14ac:dyDescent="0.25">
      <c r="D545" s="63"/>
      <c r="E545" s="82"/>
      <c r="G545" s="63"/>
    </row>
    <row r="546" spans="4:7" ht="14.4" customHeight="1" x14ac:dyDescent="0.25">
      <c r="D546" s="63"/>
      <c r="E546" s="82"/>
      <c r="G546" s="63"/>
    </row>
    <row r="547" spans="4:7" ht="14.4" customHeight="1" x14ac:dyDescent="0.25">
      <c r="D547" s="63"/>
      <c r="E547" s="82"/>
      <c r="G547" s="63"/>
    </row>
    <row r="548" spans="4:7" ht="14.4" customHeight="1" x14ac:dyDescent="0.25">
      <c r="D548" s="63"/>
      <c r="E548" s="82"/>
      <c r="G548" s="63"/>
    </row>
    <row r="549" spans="4:7" ht="14.4" customHeight="1" x14ac:dyDescent="0.25">
      <c r="D549" s="63"/>
      <c r="E549" s="82"/>
      <c r="G549" s="63"/>
    </row>
  </sheetData>
  <mergeCells count="18">
    <mergeCell ref="A34:D34"/>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5" customWidth="1"/>
    <col min="2" max="2" width="12.109375" style="55" customWidth="1"/>
    <col min="3" max="3" width="13.44140625" style="55" customWidth="1"/>
    <col min="4" max="4" width="10.6640625" style="55" customWidth="1"/>
    <col min="5" max="5" width="13.109375" style="55" customWidth="1"/>
    <col min="6" max="6" width="9.44140625" style="55" customWidth="1"/>
    <col min="7" max="7" width="10.6640625" style="55" customWidth="1"/>
    <col min="8" max="8" width="9.6640625" style="55" customWidth="1"/>
    <col min="9" max="9" width="8.109375" style="55" customWidth="1"/>
    <col min="10" max="10" width="8.33203125" style="55" customWidth="1"/>
  </cols>
  <sheetData>
    <row r="1" spans="1:10" ht="14.25" customHeight="1" x14ac:dyDescent="0.25">
      <c r="A1" s="144" t="s">
        <v>54</v>
      </c>
      <c r="B1" s="120"/>
      <c r="C1" s="120"/>
      <c r="D1" s="120"/>
      <c r="E1" s="120"/>
      <c r="F1" s="120"/>
      <c r="G1" s="120"/>
      <c r="H1" s="120"/>
      <c r="I1" s="120"/>
      <c r="J1" s="120"/>
    </row>
    <row r="2" spans="1:10" x14ac:dyDescent="0.25">
      <c r="A2" s="142" t="s">
        <v>55</v>
      </c>
      <c r="B2" s="120"/>
      <c r="C2" s="120"/>
      <c r="D2" s="120"/>
      <c r="E2" s="120"/>
      <c r="F2" s="120"/>
      <c r="G2" s="145">
        <v>2017</v>
      </c>
      <c r="H2" s="120"/>
      <c r="I2" s="120"/>
      <c r="J2" s="120"/>
    </row>
    <row r="3" spans="1:10" ht="12.75" customHeight="1" x14ac:dyDescent="0.25">
      <c r="A3" s="142" t="s">
        <v>56</v>
      </c>
      <c r="B3" s="120"/>
      <c r="C3" s="142" t="s">
        <v>57</v>
      </c>
      <c r="D3" s="120"/>
      <c r="E3" s="142" t="s">
        <v>58</v>
      </c>
      <c r="F3" s="120"/>
      <c r="G3" s="142" t="s">
        <v>59</v>
      </c>
      <c r="H3" s="120"/>
      <c r="I3" s="142" t="s">
        <v>60</v>
      </c>
      <c r="J3" s="120"/>
    </row>
    <row r="4" spans="1:10" ht="21.6" customHeight="1" x14ac:dyDescent="0.25">
      <c r="A4" s="56" t="s">
        <v>61</v>
      </c>
      <c r="B4" s="85">
        <v>0.72105599999999992</v>
      </c>
      <c r="C4" s="56" t="s">
        <v>36</v>
      </c>
      <c r="D4" s="86">
        <v>1.7129000000000001</v>
      </c>
      <c r="E4" s="56" t="s">
        <v>41</v>
      </c>
      <c r="F4" s="85">
        <v>1.0744</v>
      </c>
      <c r="G4" s="56" t="s">
        <v>42</v>
      </c>
      <c r="H4" s="85">
        <v>0.37658799999999998</v>
      </c>
      <c r="I4" s="56"/>
      <c r="J4" s="87"/>
    </row>
    <row r="5" spans="1:10" ht="15.75" customHeight="1" x14ac:dyDescent="0.25">
      <c r="A5" s="56" t="s">
        <v>62</v>
      </c>
      <c r="B5" s="85">
        <v>0.86159700000000006</v>
      </c>
      <c r="C5" s="56" t="s">
        <v>63</v>
      </c>
      <c r="D5" s="86">
        <v>0.73129999999999995</v>
      </c>
      <c r="E5" s="56" t="s">
        <v>64</v>
      </c>
      <c r="F5" s="86">
        <v>337.62729999999999</v>
      </c>
      <c r="G5" s="56" t="s">
        <v>65</v>
      </c>
      <c r="H5" s="85">
        <v>0.27502599999999999</v>
      </c>
      <c r="I5" s="56"/>
      <c r="J5" s="87"/>
    </row>
    <row r="6" spans="1:10" ht="15" customHeight="1" x14ac:dyDescent="0.25">
      <c r="A6" s="56" t="s">
        <v>66</v>
      </c>
      <c r="B6" s="85">
        <v>0.69759299999999991</v>
      </c>
      <c r="C6" s="56" t="s">
        <v>39</v>
      </c>
      <c r="D6" s="88">
        <v>9.5500000000000002E-2</v>
      </c>
      <c r="E6" s="56" t="s">
        <v>67</v>
      </c>
      <c r="F6" s="86">
        <v>0.33789999999999998</v>
      </c>
      <c r="G6" s="56" t="s">
        <v>45</v>
      </c>
      <c r="H6" s="85">
        <v>0.19584099999999999</v>
      </c>
      <c r="I6" s="56"/>
      <c r="J6" s="87"/>
    </row>
    <row r="7" spans="1:10" ht="14.25" customHeight="1" x14ac:dyDescent="0.25">
      <c r="A7" s="56" t="s">
        <v>38</v>
      </c>
      <c r="B7" s="88">
        <v>1.079250347020126</v>
      </c>
      <c r="C7" s="56" t="s">
        <v>68</v>
      </c>
      <c r="D7" s="88">
        <v>18.009499999999999</v>
      </c>
      <c r="E7" s="56" t="s">
        <v>69</v>
      </c>
      <c r="F7" s="86">
        <v>0.30330000000000001</v>
      </c>
      <c r="G7" s="56" t="s">
        <v>70</v>
      </c>
      <c r="H7" s="85">
        <v>7.5264999999999999E-2</v>
      </c>
      <c r="I7" s="56"/>
      <c r="J7" s="87"/>
    </row>
    <row r="8" spans="1:10" x14ac:dyDescent="0.25">
      <c r="A8" s="56"/>
      <c r="B8" s="89"/>
      <c r="C8" s="56"/>
      <c r="D8" s="90"/>
      <c r="E8" s="56" t="s">
        <v>71</v>
      </c>
      <c r="F8" s="86">
        <v>0.25869999999999999</v>
      </c>
      <c r="G8" s="56"/>
      <c r="H8" s="89"/>
      <c r="I8" s="56"/>
      <c r="J8" s="89"/>
    </row>
    <row r="9" spans="1:10" ht="13.5" customHeight="1" x14ac:dyDescent="0.25">
      <c r="A9" s="144" t="s">
        <v>72</v>
      </c>
      <c r="B9" s="120"/>
      <c r="C9" s="120"/>
      <c r="D9" s="120"/>
      <c r="E9" s="120"/>
      <c r="F9" s="120"/>
      <c r="G9" s="120"/>
      <c r="H9" s="120"/>
      <c r="I9" s="120"/>
      <c r="J9" s="120"/>
    </row>
    <row r="10" spans="1:10" ht="13.5" customHeight="1" x14ac:dyDescent="0.25">
      <c r="A10" s="142" t="s">
        <v>73</v>
      </c>
      <c r="B10" s="120"/>
      <c r="C10" s="120"/>
      <c r="D10" s="120"/>
      <c r="E10" s="120"/>
      <c r="F10" s="120"/>
      <c r="G10" s="146">
        <v>2017</v>
      </c>
      <c r="H10" s="120"/>
      <c r="I10" s="120"/>
      <c r="J10" s="120"/>
    </row>
    <row r="11" spans="1:10" x14ac:dyDescent="0.25">
      <c r="A11" s="142" t="s">
        <v>74</v>
      </c>
      <c r="B11" s="120"/>
      <c r="C11" s="142" t="s">
        <v>75</v>
      </c>
      <c r="D11" s="120"/>
      <c r="E11" s="142" t="s">
        <v>76</v>
      </c>
      <c r="F11" s="120"/>
      <c r="G11" s="120"/>
      <c r="H11" s="120"/>
      <c r="I11" s="120"/>
      <c r="J11" s="120"/>
    </row>
    <row r="12" spans="1:10" ht="14.25" customHeight="1" x14ac:dyDescent="0.25">
      <c r="A12" s="56" t="s">
        <v>77</v>
      </c>
      <c r="B12" s="91">
        <v>452.7768336222</v>
      </c>
      <c r="C12" s="56" t="s">
        <v>78</v>
      </c>
      <c r="D12" s="88">
        <v>754.54682170009994</v>
      </c>
      <c r="E12" s="147" t="s">
        <v>79</v>
      </c>
      <c r="F12" s="120"/>
      <c r="G12" s="120"/>
      <c r="H12" s="148">
        <v>810.71214111949996</v>
      </c>
      <c r="I12" s="120"/>
      <c r="J12" s="120"/>
    </row>
    <row r="13" spans="1:10" ht="14.25" customHeight="1" x14ac:dyDescent="0.25">
      <c r="A13" s="56" t="s">
        <v>80</v>
      </c>
      <c r="B13" s="91">
        <v>2.1996030942</v>
      </c>
      <c r="C13" s="56" t="s">
        <v>81</v>
      </c>
      <c r="D13" s="88">
        <v>576.2868086958</v>
      </c>
      <c r="E13" s="147" t="s">
        <v>82</v>
      </c>
      <c r="F13" s="120"/>
      <c r="G13" s="120"/>
      <c r="H13" s="148">
        <v>39.646584794100001</v>
      </c>
      <c r="I13" s="120"/>
      <c r="J13" s="120"/>
    </row>
    <row r="14" spans="1:10" ht="14.25" customHeight="1" x14ac:dyDescent="0.25">
      <c r="A14" s="56" t="s">
        <v>83</v>
      </c>
      <c r="B14" s="91">
        <v>622.96951301989998</v>
      </c>
      <c r="C14" s="56" t="s">
        <v>84</v>
      </c>
      <c r="D14" s="88">
        <v>470.39329236190002</v>
      </c>
      <c r="E14" s="147" t="s">
        <v>85</v>
      </c>
      <c r="F14" s="120"/>
      <c r="G14" s="120"/>
      <c r="H14" s="148">
        <v>854.15795596009991</v>
      </c>
      <c r="I14" s="120"/>
      <c r="J14" s="120"/>
    </row>
    <row r="15" spans="1:10" ht="14.25" customHeight="1" x14ac:dyDescent="0.25">
      <c r="A15" s="56" t="s">
        <v>86</v>
      </c>
      <c r="B15" s="91">
        <v>28.388588375999998</v>
      </c>
      <c r="C15" s="56" t="s">
        <v>87</v>
      </c>
      <c r="D15" s="88">
        <v>14.677011263499999</v>
      </c>
      <c r="E15" s="147" t="s">
        <v>88</v>
      </c>
      <c r="F15" s="120"/>
      <c r="G15" s="120"/>
      <c r="H15" s="148">
        <v>613.33632809180006</v>
      </c>
      <c r="I15" s="120"/>
      <c r="J15" s="120"/>
    </row>
    <row r="16" spans="1:10" ht="14.25" customHeight="1" x14ac:dyDescent="0.25">
      <c r="A16" s="56" t="s">
        <v>89</v>
      </c>
      <c r="B16" s="91">
        <v>2.2062153918999998</v>
      </c>
      <c r="C16" s="56" t="s">
        <v>90</v>
      </c>
      <c r="D16" s="88">
        <v>12.816304286600001</v>
      </c>
      <c r="E16" s="147" t="s">
        <v>91</v>
      </c>
      <c r="F16" s="120"/>
      <c r="G16" s="120"/>
      <c r="H16" s="148">
        <v>104.2829225598</v>
      </c>
      <c r="I16" s="120"/>
      <c r="J16" s="120"/>
    </row>
    <row r="17" spans="1:10" ht="14.25" customHeight="1" x14ac:dyDescent="0.25">
      <c r="A17" s="56" t="s">
        <v>92</v>
      </c>
      <c r="B17" s="91">
        <v>4.6543191891999998</v>
      </c>
      <c r="C17" s="56" t="s">
        <v>93</v>
      </c>
      <c r="D17" s="88">
        <v>8.3572893316000005</v>
      </c>
      <c r="E17" s="147" t="s">
        <v>94</v>
      </c>
      <c r="F17" s="120"/>
      <c r="G17" s="120"/>
      <c r="H17" s="148">
        <v>901.24481721580003</v>
      </c>
      <c r="I17" s="120"/>
      <c r="J17" s="120"/>
    </row>
    <row r="18" spans="1:10" ht="14.25" customHeight="1" x14ac:dyDescent="0.25">
      <c r="A18" s="56" t="s">
        <v>95</v>
      </c>
      <c r="B18" s="91">
        <v>3326.2092121849</v>
      </c>
      <c r="C18" s="56" t="s">
        <v>96</v>
      </c>
      <c r="D18" s="88">
        <v>207.51979923259998</v>
      </c>
      <c r="E18" s="147" t="s">
        <v>97</v>
      </c>
      <c r="F18" s="120"/>
      <c r="G18" s="120"/>
      <c r="H18" s="148">
        <v>-47.086861255699993</v>
      </c>
      <c r="I18" s="120"/>
      <c r="J18" s="120"/>
    </row>
    <row r="19" spans="1:10" ht="14.25" customHeight="1" x14ac:dyDescent="0.25">
      <c r="A19" s="56" t="s">
        <v>98</v>
      </c>
      <c r="B19" s="91">
        <v>167.6808</v>
      </c>
      <c r="C19" s="56" t="s">
        <v>99</v>
      </c>
      <c r="D19" s="88">
        <v>207.33956950439998</v>
      </c>
      <c r="E19" s="147" t="s">
        <v>100</v>
      </c>
      <c r="F19" s="120"/>
      <c r="G19" s="120"/>
      <c r="H19" s="148">
        <v>-326.5688197998</v>
      </c>
      <c r="I19" s="120"/>
      <c r="J19" s="120"/>
    </row>
    <row r="20" spans="1:10" ht="27" customHeight="1" x14ac:dyDescent="0.25">
      <c r="A20" s="56" t="s">
        <v>101</v>
      </c>
      <c r="B20" s="91">
        <v>136.1276058048</v>
      </c>
      <c r="C20" s="56" t="s">
        <v>43</v>
      </c>
      <c r="D20" s="88">
        <v>150.0936119781</v>
      </c>
      <c r="E20" s="147" t="s">
        <v>102</v>
      </c>
      <c r="F20" s="120"/>
      <c r="G20" s="120"/>
      <c r="H20" s="148">
        <v>51.450486380900003</v>
      </c>
      <c r="I20" s="120"/>
      <c r="J20" s="120"/>
    </row>
    <row r="21" spans="1:10" ht="16.5" customHeight="1" x14ac:dyDescent="0.25">
      <c r="A21" s="56" t="s">
        <v>103</v>
      </c>
      <c r="B21" s="91">
        <v>0</v>
      </c>
      <c r="C21" s="56"/>
      <c r="D21" s="92"/>
      <c r="E21" s="147" t="s">
        <v>104</v>
      </c>
      <c r="F21" s="120"/>
      <c r="G21" s="120"/>
      <c r="H21" s="148">
        <v>613.53693093530001</v>
      </c>
      <c r="I21" s="120"/>
      <c r="J21" s="120"/>
    </row>
    <row r="22" spans="1:10" ht="14.25" customHeight="1" x14ac:dyDescent="0.25">
      <c r="A22" s="56" t="s">
        <v>105</v>
      </c>
      <c r="B22" s="91">
        <v>606.96558839720001</v>
      </c>
      <c r="C22" s="56"/>
      <c r="D22" s="92"/>
      <c r="E22" s="147" t="s">
        <v>106</v>
      </c>
      <c r="F22" s="120"/>
      <c r="G22" s="120"/>
      <c r="H22" s="148">
        <v>73.973736001600003</v>
      </c>
      <c r="I22" s="120"/>
      <c r="J22" s="120"/>
    </row>
    <row r="23" spans="1:10" ht="14.25" customHeight="1" x14ac:dyDescent="0.25">
      <c r="A23" s="56" t="s">
        <v>107</v>
      </c>
      <c r="B23" s="91">
        <v>83.977536670600003</v>
      </c>
      <c r="C23" s="56"/>
      <c r="D23" s="92"/>
      <c r="E23" s="147" t="s">
        <v>108</v>
      </c>
      <c r="F23" s="120"/>
      <c r="G23" s="120"/>
      <c r="H23" s="148">
        <v>838.54306511469997</v>
      </c>
      <c r="I23" s="120"/>
      <c r="J23" s="120"/>
    </row>
    <row r="24" spans="1:10" ht="14.25" customHeight="1" x14ac:dyDescent="0.25">
      <c r="A24" s="56" t="s">
        <v>109</v>
      </c>
      <c r="B24" s="91">
        <v>2398.3821149152</v>
      </c>
      <c r="C24" s="93"/>
      <c r="D24" s="90"/>
      <c r="E24" s="147" t="s">
        <v>110</v>
      </c>
      <c r="F24" s="120"/>
      <c r="G24" s="120"/>
      <c r="H24" s="148">
        <v>329.86200559029999</v>
      </c>
      <c r="I24" s="120"/>
      <c r="J24" s="120"/>
    </row>
    <row r="25" spans="1:10" ht="14.25" customHeight="1" x14ac:dyDescent="0.25">
      <c r="A25" s="56" t="s">
        <v>111</v>
      </c>
      <c r="B25" s="91">
        <v>927.82709726970006</v>
      </c>
      <c r="C25" s="93"/>
      <c r="D25" s="90"/>
      <c r="E25" s="147" t="s">
        <v>112</v>
      </c>
      <c r="F25" s="120"/>
      <c r="G25" s="120"/>
      <c r="H25" s="148">
        <v>500.71399865220002</v>
      </c>
      <c r="I25" s="120"/>
      <c r="J25" s="120"/>
    </row>
    <row r="26" spans="1:10" ht="14.25" customHeight="1" x14ac:dyDescent="0.25">
      <c r="A26" s="94" t="s">
        <v>113</v>
      </c>
      <c r="B26" s="91">
        <v>3326.2092121849</v>
      </c>
      <c r="C26" s="93"/>
      <c r="D26" s="90"/>
      <c r="E26" s="147" t="s">
        <v>114</v>
      </c>
      <c r="F26" s="120"/>
      <c r="G26" s="120"/>
      <c r="H26" s="148">
        <v>337.82906646250001</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5"/>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5" customWidth="1"/>
    <col min="2" max="2" width="9.6640625" style="55" customWidth="1"/>
    <col min="3" max="3" width="9.88671875" style="55" customWidth="1"/>
    <col min="4" max="4" width="10.6640625" style="55" customWidth="1"/>
    <col min="5" max="5" width="10.88671875" style="55" customWidth="1"/>
    <col min="6" max="6" width="10.109375" style="55" customWidth="1"/>
    <col min="7" max="7" width="10.77734375" style="55" customWidth="1"/>
    <col min="8" max="8" width="13.109375" style="55" customWidth="1"/>
    <col min="9" max="10" width="12.21875" style="55" customWidth="1"/>
  </cols>
  <sheetData>
    <row r="1" spans="1:10" x14ac:dyDescent="0.25">
      <c r="A1" s="123" t="s">
        <v>183</v>
      </c>
      <c r="B1" s="124"/>
      <c r="C1" s="124"/>
      <c r="D1" s="124"/>
      <c r="E1" s="124"/>
      <c r="F1" s="124"/>
      <c r="G1" s="124"/>
      <c r="H1" s="124"/>
      <c r="I1" s="124"/>
    </row>
    <row r="2" spans="1:10" ht="46.5" customHeight="1" x14ac:dyDescent="0.25">
      <c r="A2" s="53" t="s">
        <v>22</v>
      </c>
      <c r="B2" s="43" t="s">
        <v>277</v>
      </c>
      <c r="C2" s="43" t="s">
        <v>184</v>
      </c>
      <c r="D2" s="43" t="s">
        <v>287</v>
      </c>
      <c r="E2" s="43" t="s">
        <v>288</v>
      </c>
      <c r="F2" s="43" t="s">
        <v>289</v>
      </c>
      <c r="G2" s="43" t="s">
        <v>277</v>
      </c>
      <c r="H2" s="43" t="s">
        <v>290</v>
      </c>
      <c r="I2" s="43" t="s">
        <v>291</v>
      </c>
      <c r="J2" s="43" t="s">
        <v>292</v>
      </c>
    </row>
    <row r="3" spans="1:10" x14ac:dyDescent="0.25">
      <c r="A3" s="53" t="s">
        <v>24</v>
      </c>
      <c r="B3" s="96" t="s">
        <v>25</v>
      </c>
      <c r="C3" s="97" t="s">
        <v>185</v>
      </c>
      <c r="D3" s="96" t="s">
        <v>25</v>
      </c>
      <c r="E3" s="96" t="s">
        <v>25</v>
      </c>
      <c r="F3" s="96" t="s">
        <v>25</v>
      </c>
      <c r="G3" s="96" t="s">
        <v>25</v>
      </c>
      <c r="H3" s="96" t="s">
        <v>25</v>
      </c>
      <c r="I3" s="96" t="s">
        <v>25</v>
      </c>
      <c r="J3" s="96" t="s">
        <v>25</v>
      </c>
    </row>
    <row r="4" spans="1:10" s="7" customFormat="1" ht="21.6" x14ac:dyDescent="0.25">
      <c r="A4" s="9" t="s">
        <v>3</v>
      </c>
      <c r="B4" s="98" t="s">
        <v>278</v>
      </c>
      <c r="C4" s="97" t="s">
        <v>185</v>
      </c>
      <c r="D4" s="98" t="s">
        <v>293</v>
      </c>
      <c r="E4" s="98" t="s">
        <v>294</v>
      </c>
      <c r="F4" s="98" t="s">
        <v>293</v>
      </c>
      <c r="G4" s="98" t="s">
        <v>278</v>
      </c>
      <c r="H4" s="98" t="s">
        <v>293</v>
      </c>
      <c r="I4" s="98" t="s">
        <v>293</v>
      </c>
      <c r="J4" s="98" t="s">
        <v>293</v>
      </c>
    </row>
    <row r="5" spans="1:10" s="7" customFormat="1" x14ac:dyDescent="0.25">
      <c r="A5" s="9" t="s">
        <v>29</v>
      </c>
      <c r="B5" s="99" t="s">
        <v>30</v>
      </c>
      <c r="C5" s="97" t="s">
        <v>185</v>
      </c>
      <c r="D5" s="99" t="s">
        <v>30</v>
      </c>
      <c r="E5" s="99" t="s">
        <v>30</v>
      </c>
      <c r="F5" s="99" t="s">
        <v>30</v>
      </c>
      <c r="G5" s="99" t="s">
        <v>30</v>
      </c>
      <c r="H5" s="99" t="s">
        <v>30</v>
      </c>
      <c r="I5" s="99" t="s">
        <v>30</v>
      </c>
      <c r="J5" s="99" t="s">
        <v>30</v>
      </c>
    </row>
    <row r="6" spans="1:10" x14ac:dyDescent="0.25">
      <c r="A6" s="53" t="s">
        <v>32</v>
      </c>
      <c r="B6" s="100">
        <v>3326.2092121849</v>
      </c>
      <c r="C6" s="97">
        <v>3408.4010480394427</v>
      </c>
      <c r="D6" s="100">
        <v>1414.2116900000001</v>
      </c>
      <c r="E6" s="100">
        <v>11653.469178045501</v>
      </c>
      <c r="F6" s="100">
        <v>811.80120505899993</v>
      </c>
      <c r="G6" s="100">
        <v>3326.2092121849</v>
      </c>
      <c r="H6" s="100">
        <v>2781.4531708756999</v>
      </c>
      <c r="I6" s="100">
        <v>2668.1369517288999</v>
      </c>
      <c r="J6" s="100">
        <v>1203.5259283821001</v>
      </c>
    </row>
    <row r="7" spans="1:10" x14ac:dyDescent="0.25">
      <c r="A7" s="53" t="s">
        <v>34</v>
      </c>
      <c r="B7" s="44">
        <v>0.72105599999999992</v>
      </c>
      <c r="C7" s="97">
        <v>0.75564485714285712</v>
      </c>
      <c r="D7" s="44">
        <v>0.77421000000000006</v>
      </c>
      <c r="E7" s="44">
        <v>0.83981300000000003</v>
      </c>
      <c r="F7" s="44">
        <v>0.75111800000000006</v>
      </c>
      <c r="G7" s="44">
        <v>0.72105599999999992</v>
      </c>
      <c r="H7" s="44">
        <v>0.68995400000000007</v>
      </c>
      <c r="I7" s="44">
        <v>0.79214399999999996</v>
      </c>
      <c r="J7" s="44">
        <v>0.72121899999999994</v>
      </c>
    </row>
    <row r="8" spans="1:10" x14ac:dyDescent="0.25">
      <c r="A8" s="53" t="s">
        <v>36</v>
      </c>
      <c r="B8" s="100">
        <v>1.7129000000000001</v>
      </c>
      <c r="C8" s="97">
        <v>1.7885857142857142</v>
      </c>
      <c r="D8" s="100">
        <v>1.6932</v>
      </c>
      <c r="E8" s="100">
        <v>1.2009000000000001</v>
      </c>
      <c r="F8" s="100">
        <v>0.98050000000000004</v>
      </c>
      <c r="G8" s="100">
        <v>1.7129000000000001</v>
      </c>
      <c r="H8" s="100">
        <v>2.0672000000000001</v>
      </c>
      <c r="I8" s="100">
        <v>1.9416</v>
      </c>
      <c r="J8" s="100">
        <v>2.9238</v>
      </c>
    </row>
    <row r="9" spans="1:10" x14ac:dyDescent="0.25">
      <c r="A9" s="53" t="s">
        <v>38</v>
      </c>
      <c r="B9" s="96">
        <v>1.079250347020126</v>
      </c>
      <c r="C9" s="97">
        <v>1.434468658435186</v>
      </c>
      <c r="D9" s="96">
        <v>1.9028497629600183</v>
      </c>
      <c r="E9" s="96">
        <v>1.0264933512076175</v>
      </c>
      <c r="F9" s="96">
        <v>1.4238417872151186</v>
      </c>
      <c r="G9" s="96">
        <v>1.079250347020126</v>
      </c>
      <c r="H9" s="96">
        <v>0.70431455405331278</v>
      </c>
      <c r="I9" s="96">
        <v>2.008360640376543</v>
      </c>
      <c r="J9" s="96">
        <v>1.8961701662135653</v>
      </c>
    </row>
    <row r="10" spans="1:10" ht="21.6" customHeight="1" x14ac:dyDescent="0.25">
      <c r="A10" s="53" t="s">
        <v>39</v>
      </c>
      <c r="B10" s="100">
        <v>9.5500000000000002E-2</v>
      </c>
      <c r="C10" s="97">
        <v>5.9299999999999999E-2</v>
      </c>
      <c r="D10" s="100">
        <v>3.6499999999999998E-2</v>
      </c>
      <c r="E10" s="100">
        <v>5.5800000000000002E-2</v>
      </c>
      <c r="F10" s="100">
        <v>0.1036</v>
      </c>
      <c r="G10" s="100">
        <v>9.5500000000000002E-2</v>
      </c>
      <c r="H10" s="100">
        <v>6.7699999999999996E-2</v>
      </c>
      <c r="I10" s="100">
        <v>3.8699999999999998E-2</v>
      </c>
      <c r="J10" s="100">
        <v>1.7299999999999999E-2</v>
      </c>
    </row>
    <row r="11" spans="1:10" x14ac:dyDescent="0.25">
      <c r="A11" s="53" t="s">
        <v>40</v>
      </c>
      <c r="B11" s="100">
        <v>754.54682170009994</v>
      </c>
      <c r="C11" s="97">
        <v>620.7944701777285</v>
      </c>
      <c r="D11" s="100">
        <v>212.9204</v>
      </c>
      <c r="E11" s="100">
        <v>2428.9711025051997</v>
      </c>
      <c r="F11" s="100">
        <v>93.245938084100004</v>
      </c>
      <c r="G11" s="100">
        <v>754.54682170009994</v>
      </c>
      <c r="H11" s="100">
        <v>398.36899314330003</v>
      </c>
      <c r="I11" s="100">
        <v>386.69322523669996</v>
      </c>
      <c r="J11" s="100">
        <v>70.814810574700005</v>
      </c>
    </row>
    <row r="12" spans="1:10" s="7" customFormat="1" x14ac:dyDescent="0.25">
      <c r="A12" s="9" t="s">
        <v>41</v>
      </c>
      <c r="B12" s="45">
        <v>1.0744</v>
      </c>
      <c r="C12" s="97">
        <v>1.1101571428571426</v>
      </c>
      <c r="D12" s="45">
        <v>1.0973999999999999</v>
      </c>
      <c r="E12" s="45">
        <v>1.5166999999999999</v>
      </c>
      <c r="F12" s="45">
        <v>0.54390000000000005</v>
      </c>
      <c r="G12" s="45">
        <v>1.0744</v>
      </c>
      <c r="H12" s="45">
        <v>0.98290000000000011</v>
      </c>
      <c r="I12" s="45">
        <v>1.3413999999999999</v>
      </c>
      <c r="J12" s="45">
        <v>1.2143999999999999</v>
      </c>
    </row>
    <row r="13" spans="1:10" s="7" customFormat="1" x14ac:dyDescent="0.25">
      <c r="A13" s="9" t="s">
        <v>42</v>
      </c>
      <c r="B13" s="45">
        <v>0.37658799999999998</v>
      </c>
      <c r="C13" s="97">
        <v>0.35397914285714283</v>
      </c>
      <c r="D13" s="45">
        <v>0.28539399999999998</v>
      </c>
      <c r="E13" s="45">
        <v>0.34095599999999998</v>
      </c>
      <c r="F13" s="45">
        <v>0.49803500000000001</v>
      </c>
      <c r="G13" s="45">
        <v>0.37658799999999998</v>
      </c>
      <c r="H13" s="45">
        <v>0.30884600000000001</v>
      </c>
      <c r="I13" s="45">
        <v>0.33780500000000002</v>
      </c>
      <c r="J13" s="45">
        <v>0.33023000000000002</v>
      </c>
    </row>
    <row r="14" spans="1:10" s="7" customFormat="1" x14ac:dyDescent="0.25">
      <c r="A14" s="9" t="s">
        <v>43</v>
      </c>
      <c r="B14" s="101">
        <v>150.0936119781</v>
      </c>
      <c r="C14" s="97">
        <v>102.69992559557144</v>
      </c>
      <c r="D14" s="101">
        <v>27.967970000000001</v>
      </c>
      <c r="E14" s="101">
        <v>372.08387330070002</v>
      </c>
      <c r="F14" s="101">
        <v>36.754599237299999</v>
      </c>
      <c r="G14" s="101">
        <v>150.0936119781</v>
      </c>
      <c r="H14" s="101">
        <v>80.963795070499998</v>
      </c>
      <c r="I14" s="101">
        <v>42.398366168599999</v>
      </c>
      <c r="J14" s="101">
        <v>8.6372634137999995</v>
      </c>
    </row>
    <row r="15" spans="1:10" x14ac:dyDescent="0.25">
      <c r="A15" s="53" t="s">
        <v>45</v>
      </c>
      <c r="B15" s="44">
        <v>0.19584099999999999</v>
      </c>
      <c r="C15" s="97">
        <v>0.14086971428571429</v>
      </c>
      <c r="D15" s="44">
        <v>0.11234400000000001</v>
      </c>
      <c r="E15" s="44">
        <v>0.22795200000000002</v>
      </c>
      <c r="F15" s="44">
        <v>0.22375100000000001</v>
      </c>
      <c r="G15" s="44">
        <v>0.19584099999999999</v>
      </c>
      <c r="H15" s="44">
        <v>0.10878199999999999</v>
      </c>
      <c r="I15" s="44">
        <v>0.10141700000000001</v>
      </c>
      <c r="J15" s="44">
        <v>1.6001000000000001E-2</v>
      </c>
    </row>
    <row r="16" spans="1:10" s="7" customFormat="1" ht="25.8" customHeight="1" x14ac:dyDescent="0.25">
      <c r="A16" s="9" t="s">
        <v>46</v>
      </c>
      <c r="B16" s="101">
        <v>-47.086861255699993</v>
      </c>
      <c r="C16" s="97">
        <v>87.929683832885715</v>
      </c>
      <c r="D16" s="101">
        <v>44.537889999999997</v>
      </c>
      <c r="E16" s="101">
        <v>823.22834216499996</v>
      </c>
      <c r="F16" s="101">
        <v>-53.581643983399999</v>
      </c>
      <c r="G16" s="101">
        <v>-47.086861255699993</v>
      </c>
      <c r="H16" s="101">
        <v>66.116701748200001</v>
      </c>
      <c r="I16" s="101">
        <v>-183.47661514979998</v>
      </c>
      <c r="J16" s="101">
        <v>-34.230026694099998</v>
      </c>
    </row>
    <row r="17" spans="1:10" x14ac:dyDescent="0.25">
      <c r="A17" s="53" t="s">
        <v>60</v>
      </c>
      <c r="B17" s="102"/>
      <c r="C17" s="102"/>
      <c r="D17" s="102"/>
      <c r="E17" s="102"/>
      <c r="F17" s="102"/>
      <c r="G17" s="102"/>
      <c r="H17" s="102"/>
      <c r="I17" s="102"/>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41"/>
  <sheetViews>
    <sheetView workbookViewId="0">
      <selection activeCell="D11" sqref="D11"/>
    </sheetView>
  </sheetViews>
  <sheetFormatPr defaultColWidth="8.88671875" defaultRowHeight="14.4" x14ac:dyDescent="0.25"/>
  <cols>
    <col min="1" max="1" width="15.6640625" style="25" customWidth="1"/>
    <col min="2" max="2" width="15.21875" style="55" customWidth="1"/>
    <col min="3" max="4" width="18.88671875" style="55" customWidth="1"/>
    <col min="5" max="5" width="15.109375" style="55" customWidth="1"/>
    <col min="6" max="6" width="51" style="55" customWidth="1"/>
  </cols>
  <sheetData>
    <row r="1" spans="1:6" x14ac:dyDescent="0.25">
      <c r="A1" s="149" t="s">
        <v>186</v>
      </c>
      <c r="B1" s="124"/>
      <c r="C1" s="124"/>
      <c r="D1" s="124"/>
      <c r="E1" s="124"/>
      <c r="F1" s="124"/>
    </row>
    <row r="2" spans="1:6" x14ac:dyDescent="0.25">
      <c r="A2" s="51" t="s">
        <v>187</v>
      </c>
      <c r="B2" s="50" t="s">
        <v>188</v>
      </c>
      <c r="C2" s="50" t="s">
        <v>189</v>
      </c>
      <c r="D2" s="50" t="s">
        <v>190</v>
      </c>
      <c r="E2" s="50" t="s">
        <v>168</v>
      </c>
      <c r="F2" s="50" t="s">
        <v>191</v>
      </c>
    </row>
    <row r="3" spans="1:6" ht="48" customHeight="1" x14ac:dyDescent="0.25">
      <c r="A3" s="103">
        <v>43535</v>
      </c>
      <c r="B3" s="52" t="s">
        <v>192</v>
      </c>
      <c r="C3" s="104" t="s">
        <v>193</v>
      </c>
      <c r="D3" s="104"/>
      <c r="E3" s="52" t="s">
        <v>194</v>
      </c>
      <c r="F3" s="104" t="s">
        <v>195</v>
      </c>
    </row>
    <row r="4" spans="1:6" ht="49.5" customHeight="1" x14ac:dyDescent="0.25">
      <c r="A4" s="103">
        <v>43515</v>
      </c>
      <c r="B4" s="52" t="s">
        <v>196</v>
      </c>
      <c r="C4" s="104" t="s">
        <v>197</v>
      </c>
      <c r="D4" s="104"/>
      <c r="E4" s="52" t="s">
        <v>174</v>
      </c>
      <c r="F4" s="104" t="s">
        <v>198</v>
      </c>
    </row>
    <row r="5" spans="1:6" ht="57" x14ac:dyDescent="0.25">
      <c r="A5" s="103">
        <v>43447</v>
      </c>
      <c r="B5" s="52" t="s">
        <v>199</v>
      </c>
      <c r="C5" s="104" t="s">
        <v>193</v>
      </c>
      <c r="D5" s="104"/>
      <c r="E5" s="52" t="s">
        <v>171</v>
      </c>
      <c r="F5" s="104" t="s">
        <v>200</v>
      </c>
    </row>
    <row r="6" spans="1:6" x14ac:dyDescent="0.25">
      <c r="A6" s="103">
        <v>43363</v>
      </c>
      <c r="B6" s="52" t="s">
        <v>201</v>
      </c>
      <c r="C6" s="104"/>
      <c r="D6" s="104" t="s">
        <v>202</v>
      </c>
      <c r="E6" s="52" t="s">
        <v>203</v>
      </c>
      <c r="F6" s="104"/>
    </row>
    <row r="7" spans="1:6" x14ac:dyDescent="0.25">
      <c r="A7" s="103">
        <v>43311</v>
      </c>
      <c r="B7" s="52" t="s">
        <v>204</v>
      </c>
      <c r="C7" s="104"/>
      <c r="D7" s="104" t="s">
        <v>205</v>
      </c>
      <c r="E7" s="52" t="s">
        <v>206</v>
      </c>
      <c r="F7" s="104" t="s">
        <v>207</v>
      </c>
    </row>
    <row r="8" spans="1:6" ht="57" x14ac:dyDescent="0.25">
      <c r="A8" s="103">
        <v>43298</v>
      </c>
      <c r="B8" s="52" t="s">
        <v>208</v>
      </c>
      <c r="C8" s="104" t="s">
        <v>197</v>
      </c>
      <c r="D8" s="104"/>
      <c r="E8" s="52" t="s">
        <v>206</v>
      </c>
      <c r="F8" s="104" t="s">
        <v>209</v>
      </c>
    </row>
    <row r="9" spans="1:6" ht="45.6" x14ac:dyDescent="0.25">
      <c r="A9" s="103">
        <v>43276</v>
      </c>
      <c r="B9" s="52" t="s">
        <v>210</v>
      </c>
      <c r="C9" s="104" t="s">
        <v>197</v>
      </c>
      <c r="D9" s="104"/>
      <c r="E9" s="52" t="s">
        <v>211</v>
      </c>
      <c r="F9" s="104" t="s">
        <v>212</v>
      </c>
    </row>
    <row r="10" spans="1:6" ht="45.6" x14ac:dyDescent="0.25">
      <c r="A10" s="103">
        <v>43276</v>
      </c>
      <c r="B10" s="52" t="s">
        <v>213</v>
      </c>
      <c r="C10" s="104" t="s">
        <v>193</v>
      </c>
      <c r="D10" s="104"/>
      <c r="E10" s="52" t="s">
        <v>174</v>
      </c>
      <c r="F10" s="104" t="s">
        <v>214</v>
      </c>
    </row>
    <row r="11" spans="1:6" ht="57" x14ac:dyDescent="0.25">
      <c r="A11" s="103">
        <v>43266</v>
      </c>
      <c r="B11" s="52" t="s">
        <v>215</v>
      </c>
      <c r="C11" s="104" t="s">
        <v>193</v>
      </c>
      <c r="D11" s="104"/>
      <c r="E11" s="52" t="s">
        <v>174</v>
      </c>
      <c r="F11" s="104" t="s">
        <v>216</v>
      </c>
    </row>
    <row r="12" spans="1:6" x14ac:dyDescent="0.25">
      <c r="A12" s="105">
        <v>43265</v>
      </c>
      <c r="B12" t="s">
        <v>217</v>
      </c>
      <c r="C12" s="106" t="s">
        <v>193</v>
      </c>
      <c r="D12" s="106"/>
      <c r="E12" t="s">
        <v>211</v>
      </c>
      <c r="F12" s="106"/>
    </row>
    <row r="13" spans="1:6" x14ac:dyDescent="0.25">
      <c r="A13" s="105">
        <v>43264</v>
      </c>
      <c r="B13" t="s">
        <v>218</v>
      </c>
      <c r="C13" s="106" t="s">
        <v>193</v>
      </c>
      <c r="D13" s="106"/>
      <c r="E13" t="s">
        <v>174</v>
      </c>
      <c r="F13" s="106" t="s">
        <v>219</v>
      </c>
    </row>
    <row r="14" spans="1:6" x14ac:dyDescent="0.25">
      <c r="A14" s="105">
        <v>43245</v>
      </c>
      <c r="B14" t="s">
        <v>220</v>
      </c>
      <c r="C14" s="106" t="s">
        <v>193</v>
      </c>
      <c r="D14" s="106"/>
      <c r="E14" t="s">
        <v>174</v>
      </c>
      <c r="F14" s="106"/>
    </row>
    <row r="15" spans="1:6" ht="27" customHeight="1" x14ac:dyDescent="0.25">
      <c r="A15" s="105">
        <v>43207</v>
      </c>
      <c r="B15" t="s">
        <v>221</v>
      </c>
      <c r="C15" s="106" t="s">
        <v>193</v>
      </c>
      <c r="D15" s="106"/>
      <c r="E15" t="s">
        <v>174</v>
      </c>
      <c r="F15" s="106" t="s">
        <v>222</v>
      </c>
    </row>
    <row r="16" spans="1:6" ht="27" customHeight="1" x14ac:dyDescent="0.25"/>
    <row r="31" spans="1:6" x14ac:dyDescent="0.25">
      <c r="A31" s="143" t="s">
        <v>223</v>
      </c>
      <c r="B31" s="143"/>
      <c r="C31" s="143"/>
      <c r="D31" s="143"/>
      <c r="E31" s="143"/>
      <c r="F31" s="143"/>
    </row>
    <row r="32" spans="1:6" x14ac:dyDescent="0.25">
      <c r="A32" s="83" t="s">
        <v>187</v>
      </c>
      <c r="B32" s="83" t="s">
        <v>188</v>
      </c>
      <c r="C32" s="83" t="s">
        <v>224</v>
      </c>
      <c r="D32" s="83" t="s">
        <v>225</v>
      </c>
      <c r="E32" s="83" t="s">
        <v>168</v>
      </c>
      <c r="F32" s="83" t="s">
        <v>191</v>
      </c>
    </row>
    <row r="33" spans="1:6" x14ac:dyDescent="0.25">
      <c r="A33" s="107">
        <v>43537</v>
      </c>
      <c r="B33" s="57" t="s">
        <v>226</v>
      </c>
      <c r="C33" s="108" t="s">
        <v>227</v>
      </c>
      <c r="D33" s="108"/>
      <c r="E33" s="57" t="s">
        <v>211</v>
      </c>
      <c r="F33" s="108"/>
    </row>
    <row r="34" spans="1:6" x14ac:dyDescent="0.25">
      <c r="A34" s="107">
        <v>43497</v>
      </c>
      <c r="B34" s="57" t="s">
        <v>228</v>
      </c>
      <c r="C34" s="108" t="s">
        <v>229</v>
      </c>
      <c r="D34" s="108"/>
      <c r="E34" s="57" t="s">
        <v>211</v>
      </c>
      <c r="F34" s="108" t="s">
        <v>230</v>
      </c>
    </row>
    <row r="35" spans="1:6" x14ac:dyDescent="0.25">
      <c r="A35" s="107">
        <v>43459</v>
      </c>
      <c r="B35" s="57" t="s">
        <v>231</v>
      </c>
      <c r="C35" s="108" t="s">
        <v>232</v>
      </c>
      <c r="D35" s="108"/>
      <c r="E35" s="57" t="s">
        <v>233</v>
      </c>
      <c r="F35" s="108"/>
    </row>
    <row r="36" spans="1:6" x14ac:dyDescent="0.25">
      <c r="A36" s="107">
        <v>43458</v>
      </c>
      <c r="B36" s="57" t="s">
        <v>234</v>
      </c>
      <c r="C36" s="108" t="s">
        <v>235</v>
      </c>
      <c r="D36" s="108"/>
      <c r="E36" s="57" t="s">
        <v>174</v>
      </c>
      <c r="F36" s="108" t="s">
        <v>236</v>
      </c>
    </row>
    <row r="37" spans="1:6" x14ac:dyDescent="0.25">
      <c r="A37" s="107">
        <v>43385</v>
      </c>
      <c r="B37" s="57" t="s">
        <v>237</v>
      </c>
      <c r="C37" s="108" t="s">
        <v>238</v>
      </c>
      <c r="D37" s="108"/>
      <c r="E37" s="57" t="s">
        <v>211</v>
      </c>
      <c r="F37" s="108" t="s">
        <v>239</v>
      </c>
    </row>
    <row r="38" spans="1:6" x14ac:dyDescent="0.25">
      <c r="A38" s="107">
        <v>43307</v>
      </c>
      <c r="B38" s="57" t="s">
        <v>240</v>
      </c>
      <c r="C38" s="108"/>
      <c r="D38" s="108" t="s">
        <v>241</v>
      </c>
      <c r="E38" s="57"/>
      <c r="F38" s="108" t="s">
        <v>242</v>
      </c>
    </row>
    <row r="39" spans="1:6" x14ac:dyDescent="0.25">
      <c r="A39" s="107">
        <v>43266</v>
      </c>
      <c r="B39" s="57" t="s">
        <v>243</v>
      </c>
      <c r="C39" s="108" t="s">
        <v>244</v>
      </c>
      <c r="D39" s="108"/>
      <c r="E39" s="57" t="s">
        <v>245</v>
      </c>
      <c r="F39" s="108"/>
    </row>
    <row r="40" spans="1:6" x14ac:dyDescent="0.25">
      <c r="A40" s="107">
        <v>43249</v>
      </c>
      <c r="B40" s="57" t="s">
        <v>246</v>
      </c>
      <c r="C40" s="108" t="s">
        <v>247</v>
      </c>
      <c r="D40" s="108"/>
      <c r="E40" s="57" t="s">
        <v>233</v>
      </c>
      <c r="F40" s="108" t="s">
        <v>248</v>
      </c>
    </row>
    <row r="41" spans="1:6" x14ac:dyDescent="0.25">
      <c r="A41" s="107">
        <v>43224</v>
      </c>
      <c r="B41" s="57" t="s">
        <v>249</v>
      </c>
      <c r="C41" s="108" t="s">
        <v>250</v>
      </c>
      <c r="D41" s="108"/>
      <c r="E41" s="57" t="s">
        <v>203</v>
      </c>
      <c r="F41" s="108" t="s">
        <v>251</v>
      </c>
    </row>
  </sheetData>
  <mergeCells count="2">
    <mergeCell ref="A1:F1"/>
    <mergeCell ref="A31:F31"/>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5" customWidth="1"/>
    <col min="2" max="2" width="9.44140625" style="55" customWidth="1"/>
    <col min="3" max="3" width="9" style="55" customWidth="1"/>
    <col min="4" max="4" width="7.44140625" style="55" customWidth="1"/>
    <col min="5" max="5" width="8.109375" style="55" customWidth="1"/>
    <col min="6" max="6" width="26.6640625" style="55" customWidth="1"/>
    <col min="7" max="7" width="8.6640625" style="55" customWidth="1"/>
    <col min="8" max="8" width="12.109375" style="55" customWidth="1"/>
    <col min="9" max="9" width="7.44140625" style="55" customWidth="1"/>
    <col min="10" max="10" width="7.88671875" style="55" customWidth="1"/>
    <col min="11" max="11" width="7.6640625" style="55" customWidth="1"/>
    <col min="12" max="12" width="13.21875" style="55" customWidth="1"/>
    <col min="13" max="13" width="7.109375" style="55" customWidth="1"/>
    <col min="14" max="14" width="37.6640625" style="55" customWidth="1"/>
    <col min="15" max="15" width="25.33203125" style="55" customWidth="1"/>
    <col min="16" max="16" width="20.44140625" style="109" customWidth="1"/>
    <col min="17" max="17" width="12" style="55" customWidth="1"/>
    <col min="18" max="18" width="10.44140625" style="55" customWidth="1"/>
  </cols>
  <sheetData>
    <row r="1" spans="1:18" x14ac:dyDescent="0.25">
      <c r="A1" s="150" t="s">
        <v>252</v>
      </c>
      <c r="B1" s="124"/>
      <c r="C1" s="124"/>
      <c r="D1" s="124"/>
      <c r="E1" s="124"/>
      <c r="F1" s="124"/>
      <c r="G1" s="124"/>
      <c r="H1" s="124"/>
      <c r="I1" s="124"/>
      <c r="J1" s="124"/>
      <c r="K1" s="124"/>
      <c r="L1" s="124"/>
      <c r="M1" s="124"/>
      <c r="N1" s="124"/>
    </row>
    <row r="2" spans="1:18" s="1" customFormat="1" ht="25.5" customHeight="1" x14ac:dyDescent="0.25">
      <c r="A2" s="54" t="s">
        <v>253</v>
      </c>
      <c r="B2" s="54" t="s">
        <v>254</v>
      </c>
      <c r="C2" s="54" t="s">
        <v>255</v>
      </c>
      <c r="D2" s="54" t="s">
        <v>256</v>
      </c>
      <c r="E2" s="54" t="s">
        <v>257</v>
      </c>
      <c r="F2" s="54" t="s">
        <v>258</v>
      </c>
      <c r="G2" s="54" t="s">
        <v>259</v>
      </c>
      <c r="H2" s="54" t="s">
        <v>16</v>
      </c>
      <c r="I2" s="54" t="s">
        <v>260</v>
      </c>
      <c r="J2" s="54" t="s">
        <v>261</v>
      </c>
      <c r="K2" s="54" t="s">
        <v>262</v>
      </c>
      <c r="L2" s="54" t="s">
        <v>263</v>
      </c>
      <c r="M2" s="54" t="s">
        <v>19</v>
      </c>
      <c r="N2" s="54" t="s">
        <v>264</v>
      </c>
      <c r="O2" s="3"/>
      <c r="P2" s="110" t="str">
        <f ca="1">Q2</f>
        <v>2019-04-12</v>
      </c>
      <c r="Q2" s="1" t="str">
        <f ca="1">[1]!td(R2-1)</f>
        <v>2019-04-12</v>
      </c>
      <c r="R2" s="3">
        <f ca="1">TODAY()</f>
        <v>43570</v>
      </c>
    </row>
    <row r="3" spans="1:18" ht="15.75" customHeight="1" x14ac:dyDescent="0.25">
      <c r="A3" s="111" t="str">
        <f>[1]!b_info_name(L3)</f>
        <v>19招商蛇口SCP002</v>
      </c>
      <c r="B3" s="2" t="str">
        <f>[1]!b_issue_firstissue(L3)</f>
        <v>2019-04-16</v>
      </c>
      <c r="C3" s="111">
        <f>[1]!b_info_term(L3)</f>
        <v>0.24660000000000001</v>
      </c>
      <c r="D3" s="112" t="str">
        <f>[1]!issuerrating(L3)</f>
        <v>AAA</v>
      </c>
      <c r="E3" s="112" t="str">
        <f>[1]!b_info_creditrating(L3)</f>
        <v>-</v>
      </c>
      <c r="F3" s="111">
        <f>[1]!b_rate_creditratingagency(L3)</f>
        <v>0</v>
      </c>
      <c r="G3" s="113">
        <f>[1]!b_agency_guarantor(L3)</f>
        <v>0</v>
      </c>
      <c r="H3" s="114" t="s">
        <v>265</v>
      </c>
      <c r="I3" s="65"/>
      <c r="J3" s="115" t="s">
        <v>265</v>
      </c>
      <c r="K3" s="116"/>
      <c r="L3" s="41" t="str">
        <f>公式页!A2</f>
        <v>d19041521.IB</v>
      </c>
      <c r="M3" s="114" t="s">
        <v>265</v>
      </c>
      <c r="N3" s="111">
        <f>[1]!b_agency_leadunderwriter(L3)</f>
        <v>0</v>
      </c>
      <c r="P3" s="109" t="str">
        <f t="shared" ref="P3:P29" ca="1" si="0">$P$2</f>
        <v>2019-04-12</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5"/>
      <c r="J4" s="115">
        <f ca="1">[1]!b_anal_yield_cnbd(L4,P2,1)</f>
        <v>3.6621000000000001</v>
      </c>
      <c r="K4" s="116">
        <f>K3</f>
        <v>0</v>
      </c>
      <c r="L4" s="4" t="s">
        <v>266</v>
      </c>
      <c r="M4" s="114">
        <f>[1]!b_info_issueamount(L4)/100000000</f>
        <v>5</v>
      </c>
      <c r="N4" s="111" t="str">
        <f>[1]!b_agency_leadunderwriter(L4)</f>
        <v>上海浦东发展银行股份有限公司,中国国际金融股份有限公司</v>
      </c>
      <c r="P4" s="109" t="str">
        <f t="shared" ca="1" si="0"/>
        <v>2019-04-12</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5"/>
      <c r="J5" s="115">
        <f ca="1">[1]!b_anal_yield_cnbd(L5,P3,1)</f>
        <v>0</v>
      </c>
      <c r="K5" s="116">
        <f>K3</f>
        <v>0</v>
      </c>
      <c r="L5" s="5"/>
      <c r="M5" s="114">
        <f>[1]!b_info_issueamount(L5)/100000000</f>
        <v>0</v>
      </c>
      <c r="N5" s="111">
        <f>[1]!b_agency_leadunderwriter(L5)</f>
        <v>0</v>
      </c>
      <c r="P5" s="109" t="str">
        <f t="shared" ca="1" si="0"/>
        <v>2019-04-12</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5"/>
      <c r="J6" s="115">
        <f ca="1">[1]!b_anal_yield_cnbd(L6,P4,1)</f>
        <v>0</v>
      </c>
      <c r="K6" s="116">
        <f>K3</f>
        <v>0</v>
      </c>
      <c r="L6" s="5"/>
      <c r="M6" s="114">
        <f>[1]!b_info_issueamount(L6)/100000000</f>
        <v>0</v>
      </c>
      <c r="N6" s="111">
        <f>[1]!b_agency_leadunderwriter(L6)</f>
        <v>0</v>
      </c>
      <c r="P6" s="109" t="str">
        <f t="shared" ca="1" si="0"/>
        <v>2019-04-12</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5"/>
      <c r="J7" s="115">
        <f ca="1">[1]!b_anal_yield_cnbd(L7,P5,1)</f>
        <v>0</v>
      </c>
      <c r="K7" s="116">
        <f>K3</f>
        <v>0</v>
      </c>
      <c r="L7" s="5"/>
      <c r="M7" s="114">
        <f>[1]!b_info_issueamount(L7)/100000000</f>
        <v>0</v>
      </c>
      <c r="N7" s="111">
        <f>[1]!b_agency_leadunderwriter(L7)</f>
        <v>0</v>
      </c>
      <c r="P7" s="109" t="str">
        <f t="shared" ca="1" si="0"/>
        <v>2019-04-12</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5"/>
      <c r="J8" s="115">
        <f ca="1">[1]!b_anal_yield_cnbd(L8,P6,1)</f>
        <v>0</v>
      </c>
      <c r="K8" s="116">
        <f>K3</f>
        <v>0</v>
      </c>
      <c r="L8" s="5"/>
      <c r="M8" s="114">
        <f>[1]!b_info_issueamount(L8)/100000000</f>
        <v>0</v>
      </c>
      <c r="N8" s="111">
        <f>[1]!b_agency_leadunderwriter(L8)</f>
        <v>0</v>
      </c>
      <c r="P8" s="109" t="str">
        <f t="shared" ca="1" si="0"/>
        <v>2019-04-12</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5"/>
      <c r="J9" s="115">
        <f ca="1">[1]!b_anal_yield_cnbd(L9,P7,1)</f>
        <v>0</v>
      </c>
      <c r="K9" s="116">
        <f>K3</f>
        <v>0</v>
      </c>
      <c r="L9" s="5"/>
      <c r="M9" s="114">
        <f>[1]!b_info_issueamount(L9)/100000000</f>
        <v>0</v>
      </c>
      <c r="N9" s="111">
        <f>[1]!b_agency_leadunderwriter(L9)</f>
        <v>0</v>
      </c>
      <c r="P9" s="109" t="str">
        <f t="shared" ca="1" si="0"/>
        <v>2019-04-12</v>
      </c>
    </row>
    <row r="10" spans="1:18" x14ac:dyDescent="0.25">
      <c r="P10" s="109" t="str">
        <f t="shared" ca="1" si="0"/>
        <v>2019-04-12</v>
      </c>
    </row>
    <row r="11" spans="1:18" x14ac:dyDescent="0.25">
      <c r="P11" s="109" t="str">
        <f t="shared" ca="1" si="0"/>
        <v>2019-04-12</v>
      </c>
    </row>
    <row r="12" spans="1:18" x14ac:dyDescent="0.25">
      <c r="A12" s="150" t="s">
        <v>267</v>
      </c>
      <c r="B12" s="124"/>
      <c r="C12" s="124"/>
      <c r="D12" s="124"/>
      <c r="E12" s="124"/>
      <c r="F12" s="124"/>
      <c r="G12" s="124"/>
      <c r="H12" s="124"/>
      <c r="I12" s="124"/>
      <c r="J12" s="124"/>
      <c r="K12" s="124"/>
      <c r="L12" s="124"/>
      <c r="M12" s="124"/>
      <c r="N12" s="124"/>
      <c r="P12" s="109" t="str">
        <f t="shared" ca="1" si="0"/>
        <v>2019-04-12</v>
      </c>
    </row>
    <row r="13" spans="1:18" s="1" customFormat="1" ht="43.2" customHeight="1" x14ac:dyDescent="0.25">
      <c r="A13" s="54" t="s">
        <v>253</v>
      </c>
      <c r="B13" s="54" t="s">
        <v>254</v>
      </c>
      <c r="C13" s="54" t="s">
        <v>255</v>
      </c>
      <c r="D13" s="54" t="s">
        <v>256</v>
      </c>
      <c r="E13" s="54" t="s">
        <v>257</v>
      </c>
      <c r="F13" s="54" t="s">
        <v>258</v>
      </c>
      <c r="G13" s="54" t="s">
        <v>259</v>
      </c>
      <c r="H13" s="54" t="s">
        <v>16</v>
      </c>
      <c r="I13" s="54" t="s">
        <v>260</v>
      </c>
      <c r="J13" s="54" t="s">
        <v>261</v>
      </c>
      <c r="K13" s="54" t="s">
        <v>262</v>
      </c>
      <c r="L13" s="54" t="s">
        <v>263</v>
      </c>
      <c r="M13" s="54" t="s">
        <v>19</v>
      </c>
      <c r="N13" s="54" t="s">
        <v>264</v>
      </c>
      <c r="P13" s="109" t="str">
        <f t="shared" ca="1" si="0"/>
        <v>2019-04-12</v>
      </c>
    </row>
    <row r="14" spans="1:18" ht="15.75" customHeight="1" x14ac:dyDescent="0.25">
      <c r="A14" s="111" t="str">
        <f>[1]!b_info_name(L14)</f>
        <v>19招商蛇口SCP002</v>
      </c>
      <c r="B14" s="2" t="str">
        <f>[1]!b_issue_firstissue(L14)</f>
        <v>2019-04-16</v>
      </c>
      <c r="C14" s="111">
        <f>[1]!b_info_term(L14)</f>
        <v>0.24660000000000001</v>
      </c>
      <c r="D14" s="112" t="str">
        <f>[1]!issuerrating(L14)</f>
        <v>AAA</v>
      </c>
      <c r="E14" s="112" t="str">
        <f>[1]!b_info_creditrating(L14)</f>
        <v>-</v>
      </c>
      <c r="F14" s="111">
        <f>[1]!b_rate_creditratingagency(L14)</f>
        <v>0</v>
      </c>
      <c r="G14" s="113">
        <f>[1]!b_agency_guarantor(L14)</f>
        <v>0</v>
      </c>
      <c r="H14" s="114" t="s">
        <v>265</v>
      </c>
      <c r="I14" s="65"/>
      <c r="J14" s="115" t="s">
        <v>265</v>
      </c>
      <c r="K14" s="116">
        <f>K3</f>
        <v>0</v>
      </c>
      <c r="L14" s="42" t="str">
        <f>L3</f>
        <v>d19041521.IB</v>
      </c>
      <c r="M14" s="114" t="s">
        <v>265</v>
      </c>
      <c r="N14" s="111">
        <f>[1]!b_agency_leadunderwriter(L14)</f>
        <v>0</v>
      </c>
      <c r="P14" s="109" t="str">
        <f t="shared" ca="1" si="0"/>
        <v>2019-04-12</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5"/>
      <c r="J15" s="115">
        <f ca="1">[1]!b_anal_yield_cnbd(L15,P13,1)</f>
        <v>0</v>
      </c>
      <c r="K15" s="116"/>
      <c r="L15" s="6" t="s">
        <v>268</v>
      </c>
      <c r="M15" s="114">
        <f>[1]!b_info_issueamount(L15)/100000000</f>
        <v>5</v>
      </c>
      <c r="N15" s="111" t="str">
        <f>[1]!b_agency_leadunderwriter(L15)</f>
        <v>招商银行股份有限公司</v>
      </c>
      <c r="O15" t="str">
        <f>[1]!b_issuer_windindustry(L15,4)</f>
        <v>西药</v>
      </c>
      <c r="P15" s="109" t="str">
        <f t="shared" ca="1" si="0"/>
        <v>2019-04-12</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5"/>
      <c r="J16" s="115">
        <f ca="1">[1]!b_anal_yield_cnbd(L16,P14,1)</f>
        <v>0</v>
      </c>
      <c r="K16" s="116"/>
      <c r="L16" s="6" t="s">
        <v>269</v>
      </c>
      <c r="M16" s="114">
        <f>[1]!b_info_issueamount(L16)/100000000</f>
        <v>6</v>
      </c>
      <c r="N16" s="111" t="str">
        <f>[1]!b_agency_leadunderwriter(L16)</f>
        <v>北京银行股份有限公司</v>
      </c>
      <c r="O16" t="str">
        <f>[1]!b_issuer_windindustry(L16,4)</f>
        <v>化肥与农用化工</v>
      </c>
      <c r="P16" s="109" t="str">
        <f t="shared" ca="1" si="0"/>
        <v>2019-04-12</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5"/>
      <c r="J17" s="115">
        <f ca="1">[1]!b_anal_yield_cnbd(L17,P15,1)</f>
        <v>0</v>
      </c>
      <c r="K17" s="116"/>
      <c r="L17" s="6" t="s">
        <v>270</v>
      </c>
      <c r="M17" s="114">
        <f>[1]!b_info_issueamount(L17)/100000000</f>
        <v>3.5</v>
      </c>
      <c r="N17" s="111" t="str">
        <f>[1]!b_agency_leadunderwriter(L17)</f>
        <v>华夏银行股份有限公司</v>
      </c>
      <c r="O17" t="str">
        <f>[1]!b_issuer_windindustry(L17,4)</f>
        <v>食品加工与肉类</v>
      </c>
      <c r="P17" s="109" t="str">
        <f t="shared" ca="1" si="0"/>
        <v>2019-04-12</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5"/>
      <c r="J18" s="115">
        <f ca="1">[1]!b_anal_yield_cnbd(L18,P16,1)</f>
        <v>0</v>
      </c>
      <c r="K18" s="116"/>
      <c r="L18" s="6" t="s">
        <v>271</v>
      </c>
      <c r="M18" s="114">
        <f>[1]!b_info_issueamount(L18)/100000000</f>
        <v>3</v>
      </c>
      <c r="N18" s="111" t="str">
        <f>[1]!b_agency_leadunderwriter(L18)</f>
        <v>兴业银行股份有限公司</v>
      </c>
      <c r="O18" t="str">
        <f>[1]!b_issuer_windindustry(L18,4)</f>
        <v>工业机械</v>
      </c>
      <c r="P18" s="109" t="str">
        <f t="shared" ca="1" si="0"/>
        <v>2019-04-12</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5"/>
      <c r="J19" s="115">
        <f ca="1">[1]!b_anal_yield_cnbd(L19,P17,1)</f>
        <v>0</v>
      </c>
      <c r="K19" s="116"/>
      <c r="L19" s="6" t="s">
        <v>272</v>
      </c>
      <c r="M19" s="114">
        <f>[1]!b_info_issueamount(L19)/100000000</f>
        <v>3</v>
      </c>
      <c r="N19" s="111" t="str">
        <f>[1]!b_agency_leadunderwriter(L19)</f>
        <v>中国银行股份有限公司</v>
      </c>
      <c r="O19" t="str">
        <f>[1]!b_issuer_windindustry(L19,4)</f>
        <v>半导体产品</v>
      </c>
      <c r="P19" s="109" t="str">
        <f t="shared" ca="1" si="0"/>
        <v>2019-04-12</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5"/>
      <c r="J20" s="115">
        <f ca="1">[1]!b_anal_yield_cnbd(L20,P18,1)</f>
        <v>0</v>
      </c>
      <c r="K20" s="116"/>
      <c r="L20" s="6" t="s">
        <v>273</v>
      </c>
      <c r="M20" s="114">
        <f>[1]!b_info_issueamount(L20)/100000000</f>
        <v>5</v>
      </c>
      <c r="N20" s="111" t="str">
        <f>[1]!b_agency_leadunderwriter(L20)</f>
        <v>中国银行股份有限公司</v>
      </c>
      <c r="O20" t="str">
        <f>[1]!b_issuer_windindustry(L20,4)</f>
        <v>医疗保健用品</v>
      </c>
      <c r="P20" s="109" t="str">
        <f t="shared" ca="1" si="0"/>
        <v>2019-04-12</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5"/>
      <c r="J21" s="115">
        <f ca="1">[1]!b_anal_yield_cnbd(L21,P19,1)</f>
        <v>0</v>
      </c>
      <c r="K21" s="116"/>
      <c r="L21" s="6" t="s">
        <v>274</v>
      </c>
      <c r="M21" s="114">
        <f>[1]!b_info_issueamount(L21)/100000000</f>
        <v>2</v>
      </c>
      <c r="N21" s="111" t="str">
        <f>[1]!b_agency_leadunderwriter(L21)</f>
        <v>中国银行股份有限公司</v>
      </c>
      <c r="O21" t="str">
        <f>[1]!b_issuer_windindustry(L21,4)</f>
        <v>食品加工与肉类</v>
      </c>
      <c r="P21" s="109" t="str">
        <f t="shared" ca="1" si="0"/>
        <v>2019-04-12</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5"/>
      <c r="J22" s="115">
        <f ca="1">[1]!b_anal_yield_cnbd(L22,P20,1)</f>
        <v>0</v>
      </c>
      <c r="K22" s="116"/>
      <c r="L22" s="6" t="s">
        <v>275</v>
      </c>
      <c r="M22" s="114">
        <f>[1]!b_info_issueamount(L22)/100000000</f>
        <v>4</v>
      </c>
      <c r="N22" s="111" t="str">
        <f>[1]!b_agency_leadunderwriter(L22)</f>
        <v>中国工商银行股份有限公司</v>
      </c>
      <c r="O22" t="str">
        <f>[1]!b_issuer_windindustry(L22,4)</f>
        <v>酒店、度假村与豪华游轮</v>
      </c>
      <c r="P22" s="109" t="str">
        <f t="shared" ca="1" si="0"/>
        <v>2019-04-12</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5"/>
      <c r="J23" s="115">
        <f ca="1">[1]!b_anal_yield_cnbd(L23,P21,1)</f>
        <v>0</v>
      </c>
      <c r="K23" s="116"/>
      <c r="L23" s="6" t="s">
        <v>276</v>
      </c>
      <c r="M23" s="114">
        <f>[1]!b_info_issueamount(L23)/100000000</f>
        <v>4</v>
      </c>
      <c r="N23" s="111" t="str">
        <f>[1]!b_agency_leadunderwriter(L23)</f>
        <v>中国银行股份有限公司</v>
      </c>
      <c r="O23" t="str">
        <f>[1]!b_issuer_windindustry(L23,4)</f>
        <v>金属非金属</v>
      </c>
      <c r="P23" s="109" t="str">
        <f t="shared" ca="1" si="0"/>
        <v>2019-04-12</v>
      </c>
    </row>
    <row r="24" spans="1:16" x14ac:dyDescent="0.25">
      <c r="P24" s="109" t="str">
        <f t="shared" ca="1" si="0"/>
        <v>2019-04-12</v>
      </c>
    </row>
    <row r="25" spans="1:16" x14ac:dyDescent="0.25">
      <c r="P25" s="109" t="str">
        <f t="shared" ca="1" si="0"/>
        <v>2019-04-12</v>
      </c>
    </row>
    <row r="26" spans="1:16" x14ac:dyDescent="0.25">
      <c r="P26" s="109" t="str">
        <f t="shared" ca="1" si="0"/>
        <v>2019-04-12</v>
      </c>
    </row>
    <row r="27" spans="1:16" x14ac:dyDescent="0.25">
      <c r="P27" s="109" t="str">
        <f t="shared" ca="1" si="0"/>
        <v>2019-04-12</v>
      </c>
    </row>
    <row r="28" spans="1:16" x14ac:dyDescent="0.25">
      <c r="P28" s="109" t="str">
        <f t="shared" ca="1" si="0"/>
        <v>2019-04-12</v>
      </c>
    </row>
    <row r="29" spans="1:16" x14ac:dyDescent="0.25">
      <c r="P29" s="109" t="str">
        <f t="shared" ca="1" si="0"/>
        <v>2019-04-12</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2019-04-15T09:08:31Z</dcterms:modified>
</cp:coreProperties>
</file>