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C0CE89CE-BD8E-4BFC-82EF-A6DE316C245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A23" i="6"/>
  <c r="F22" i="6"/>
  <c r="N21" i="6"/>
  <c r="C21" i="6"/>
  <c r="H20" i="6"/>
  <c r="E19" i="6"/>
  <c r="M18" i="6"/>
  <c r="B18" i="6"/>
  <c r="G17" i="6"/>
  <c r="O16" i="6"/>
  <c r="D16" i="6"/>
  <c r="A15" i="6"/>
  <c r="D14" i="6"/>
  <c r="H9" i="6"/>
  <c r="F8" i="6"/>
  <c r="A8" i="6"/>
  <c r="H7" i="6"/>
  <c r="C7" i="6"/>
  <c r="M6" i="6"/>
  <c r="G6" i="6"/>
  <c r="A6" i="6"/>
  <c r="D5" i="6"/>
  <c r="M4" i="6"/>
  <c r="F4" i="6"/>
  <c r="A4" i="6"/>
  <c r="E3" i="6"/>
  <c r="H23" i="6"/>
  <c r="E22" i="6"/>
  <c r="M21" i="6"/>
  <c r="B21" i="6"/>
  <c r="G20" i="6"/>
  <c r="O19" i="6"/>
  <c r="D19" i="6"/>
  <c r="A18" i="6"/>
  <c r="F17" i="6"/>
  <c r="N16" i="6"/>
  <c r="C16" i="6"/>
  <c r="H15" i="6"/>
  <c r="C14" i="6"/>
  <c r="N9" i="6"/>
  <c r="E9" i="6"/>
  <c r="E8" i="6"/>
  <c r="N7" i="6"/>
  <c r="G7" i="6"/>
  <c r="B7" i="6"/>
  <c r="E6" i="6"/>
  <c r="H5" i="6"/>
  <c r="B5" i="6"/>
  <c r="E4" i="6"/>
  <c r="N3" i="6"/>
  <c r="D3" i="6"/>
  <c r="M22" i="6"/>
  <c r="G21" i="6"/>
  <c r="D20" i="6"/>
  <c r="A19" i="6"/>
  <c r="N17" i="6"/>
  <c r="H16" i="6"/>
  <c r="E15" i="6"/>
  <c r="D9" i="6"/>
  <c r="G8" i="6"/>
  <c r="N6" i="6"/>
  <c r="D6" i="6"/>
  <c r="F5" i="6"/>
  <c r="B4" i="6"/>
  <c r="A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O23" i="6"/>
  <c r="F21" i="6"/>
  <c r="C20" i="6"/>
  <c r="M17" i="6"/>
  <c r="G16" i="6"/>
  <c r="D15" i="6"/>
  <c r="A9" i="6"/>
  <c r="C8" i="6"/>
  <c r="F7" i="6"/>
  <c r="C6" i="6"/>
  <c r="E5"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E23" i="6"/>
  <c r="O20" i="6"/>
  <c r="F18" i="6"/>
  <c r="B8" i="6"/>
  <c r="N5" i="6"/>
  <c r="G3" i="6"/>
  <c r="S139" i="1"/>
  <c r="S135" i="1"/>
  <c r="M133" i="1"/>
  <c r="M129" i="1"/>
  <c r="S127" i="1"/>
  <c r="M120" i="1"/>
  <c r="M118" i="1"/>
  <c r="M116" i="1"/>
  <c r="M111" i="1"/>
  <c r="F110" i="1"/>
  <c r="Q103" i="1"/>
  <c r="F102" i="1"/>
  <c r="O101" i="1"/>
  <c r="D101" i="1"/>
  <c r="M100" i="1"/>
  <c r="B100" i="1"/>
  <c r="J99" i="1"/>
  <c r="Q98" i="1"/>
  <c r="F98" i="1"/>
  <c r="O97" i="1"/>
  <c r="D97" i="1"/>
  <c r="M96" i="1"/>
  <c r="B96" i="1"/>
  <c r="F94" i="1"/>
  <c r="D93" i="1"/>
  <c r="B92" i="1"/>
  <c r="F90" i="1"/>
  <c r="D89" i="1"/>
  <c r="B88" i="1"/>
  <c r="F86" i="1"/>
  <c r="D85" i="1"/>
  <c r="B84" i="1"/>
  <c r="F82" i="1"/>
  <c r="D81" i="1"/>
  <c r="B80" i="1"/>
  <c r="F78" i="1"/>
  <c r="D77" i="1"/>
  <c r="B76" i="1"/>
  <c r="F74" i="1"/>
  <c r="E73" i="1"/>
  <c r="F72" i="1"/>
  <c r="G71" i="1"/>
  <c r="G70" i="1"/>
  <c r="B70" i="1"/>
  <c r="C69" i="1"/>
  <c r="C68" i="1"/>
  <c r="D67" i="1"/>
  <c r="E66" i="1"/>
  <c r="E65" i="1"/>
  <c r="F64" i="1"/>
  <c r="G63" i="1"/>
  <c r="G62" i="1"/>
  <c r="B62" i="1"/>
  <c r="C61" i="1"/>
  <c r="C60" i="1"/>
  <c r="D59" i="1"/>
  <c r="E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3" i="6"/>
  <c r="N20" i="6"/>
  <c r="E18" i="6"/>
  <c r="O15" i="6"/>
  <c r="M7" i="6"/>
  <c r="G4" i="6"/>
  <c r="C3" i="6"/>
  <c r="M138" i="1"/>
  <c r="S134" i="1"/>
  <c r="M132" i="1"/>
  <c r="M130" i="1"/>
  <c r="S128" i="1"/>
  <c r="D111" i="1"/>
  <c r="S109" i="1"/>
  <c r="N103" i="1"/>
  <c r="C102" i="1"/>
  <c r="L101" i="1"/>
  <c r="R100" i="1"/>
  <c r="G100" i="1"/>
  <c r="P99" i="1"/>
  <c r="E99" i="1"/>
  <c r="N98" i="1"/>
  <c r="C98" i="1"/>
  <c r="L97" i="1"/>
  <c r="R96" i="1"/>
  <c r="G96" i="1"/>
  <c r="E95" i="1"/>
  <c r="C94" i="1"/>
  <c r="G92" i="1"/>
  <c r="E91" i="1"/>
  <c r="C90" i="1"/>
  <c r="G88" i="1"/>
  <c r="E87" i="1"/>
  <c r="C86" i="1"/>
  <c r="G84" i="1"/>
  <c r="E83" i="1"/>
  <c r="C82" i="1"/>
  <c r="G80" i="1"/>
  <c r="E79" i="1"/>
  <c r="C78" i="1"/>
  <c r="G76" i="1"/>
  <c r="E75" i="1"/>
  <c r="C74" i="1"/>
  <c r="D73" i="1"/>
  <c r="E72" i="1"/>
  <c r="E71" i="1"/>
  <c r="F70" i="1"/>
  <c r="G69" i="1"/>
  <c r="G68" i="1"/>
  <c r="B68" i="1"/>
  <c r="C67" i="1"/>
  <c r="C66" i="1"/>
  <c r="D65" i="1"/>
  <c r="E64" i="1"/>
  <c r="E63" i="1"/>
  <c r="F62" i="1"/>
  <c r="G61" i="1"/>
  <c r="G60" i="1"/>
  <c r="B60" i="1"/>
  <c r="C59"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22" i="6"/>
  <c r="C17" i="6"/>
  <c r="A5" i="6"/>
  <c r="C4" i="6"/>
  <c r="S141" i="1"/>
  <c r="S137" i="1"/>
  <c r="O134" i="1"/>
  <c r="S131" i="1"/>
  <c r="O128" i="1"/>
  <c r="M121" i="1"/>
  <c r="M119" i="1"/>
  <c r="M117" i="1"/>
  <c r="F112" i="1"/>
  <c r="M109" i="1"/>
  <c r="M103" i="1"/>
  <c r="B102" i="1"/>
  <c r="J101" i="1"/>
  <c r="Q100" i="1"/>
  <c r="F100" i="1"/>
  <c r="O99" i="1"/>
  <c r="D99" i="1"/>
  <c r="M98" i="1"/>
  <c r="B98" i="1"/>
  <c r="J97" i="1"/>
  <c r="Q96" i="1"/>
  <c r="F96" i="1"/>
  <c r="D95" i="1"/>
  <c r="B94" i="1"/>
  <c r="F92" i="1"/>
  <c r="D91" i="1"/>
  <c r="B90" i="1"/>
  <c r="F88" i="1"/>
  <c r="D87" i="1"/>
  <c r="B86" i="1"/>
  <c r="F84" i="1"/>
  <c r="D83" i="1"/>
  <c r="B82" i="1"/>
  <c r="F80" i="1"/>
  <c r="D79" i="1"/>
  <c r="B78" i="1"/>
  <c r="F76" i="1"/>
  <c r="D75" i="1"/>
  <c r="B74" i="1"/>
  <c r="C73" i="1"/>
  <c r="C72" i="1"/>
  <c r="D71" i="1"/>
  <c r="E70" i="1"/>
  <c r="E69" i="1"/>
  <c r="F68" i="1"/>
  <c r="G67" i="1"/>
  <c r="G66" i="1"/>
  <c r="B66" i="1"/>
  <c r="C65" i="1"/>
  <c r="C64" i="1"/>
  <c r="D63" i="1"/>
  <c r="E62" i="1"/>
  <c r="E61" i="1"/>
  <c r="F60" i="1"/>
  <c r="A22" i="6"/>
  <c r="G14" i="6"/>
  <c r="O133" i="1"/>
  <c r="P101" i="1"/>
  <c r="L99" i="1"/>
  <c r="E97" i="1"/>
  <c r="E93" i="1"/>
  <c r="C88" i="1"/>
  <c r="G82" i="1"/>
  <c r="E77" i="1"/>
  <c r="G72" i="1"/>
  <c r="D69" i="1"/>
  <c r="G65" i="1"/>
  <c r="C62" i="1"/>
  <c r="E59" i="1"/>
  <c r="G57" i="1"/>
  <c r="E56" i="1"/>
  <c r="C55" i="1"/>
  <c r="G53" i="1"/>
  <c r="E52" i="1"/>
  <c r="C51" i="1"/>
  <c r="G49" i="1"/>
  <c r="E48" i="1"/>
  <c r="C47" i="1"/>
  <c r="G45" i="1"/>
  <c r="E44" i="1"/>
  <c r="C43" i="1"/>
  <c r="G41" i="1"/>
  <c r="E40" i="1"/>
  <c r="C39" i="1"/>
  <c r="G37" i="1"/>
  <c r="E36" i="1"/>
  <c r="C35" i="1"/>
  <c r="G33" i="1"/>
  <c r="E32" i="1"/>
  <c r="C31" i="1"/>
  <c r="R29" i="1"/>
  <c r="G29" i="1"/>
  <c r="P28" i="1"/>
  <c r="E28" i="1"/>
  <c r="N27" i="1"/>
  <c r="C27" i="1"/>
  <c r="L26" i="1"/>
  <c r="R25" i="1"/>
  <c r="G25" i="1"/>
  <c r="P24" i="1"/>
  <c r="E24" i="1"/>
  <c r="N23" i="1"/>
  <c r="C23" i="1"/>
  <c r="R21" i="1"/>
  <c r="G21" i="1"/>
  <c r="P20" i="1"/>
  <c r="E20" i="1"/>
  <c r="Q19" i="1"/>
  <c r="J19" i="1"/>
  <c r="C19" i="1"/>
  <c r="D18" i="1"/>
  <c r="O17" i="1"/>
  <c r="G17" i="1"/>
  <c r="B17" i="1"/>
  <c r="C16" i="1"/>
  <c r="O15" i="1"/>
  <c r="G15" i="1"/>
  <c r="B15" i="1"/>
  <c r="D14" i="1"/>
  <c r="B11" i="1"/>
  <c r="B9" i="1"/>
  <c r="B7" i="1"/>
  <c r="E4" i="1"/>
  <c r="B19" i="1"/>
  <c r="F17" i="1"/>
  <c r="B16" i="1"/>
  <c r="E15" i="1"/>
  <c r="G14" i="1"/>
  <c r="C14" i="1"/>
  <c r="F10" i="1"/>
  <c r="F8" i="1"/>
  <c r="B4" i="1"/>
  <c r="B17" i="6"/>
  <c r="O129" i="1"/>
  <c r="N100" i="1"/>
  <c r="C96" i="1"/>
  <c r="C80" i="1"/>
  <c r="C71" i="1"/>
  <c r="B64" i="1"/>
  <c r="F58" i="1"/>
  <c r="G55" i="1"/>
  <c r="C53" i="1"/>
  <c r="E50" i="1"/>
  <c r="E46" i="1"/>
  <c r="E42" i="1"/>
  <c r="G39" i="1"/>
  <c r="G35" i="1"/>
  <c r="C33" i="1"/>
  <c r="E30" i="1"/>
  <c r="C29" i="1"/>
  <c r="R27" i="1"/>
  <c r="E26" i="1"/>
  <c r="C25" i="1"/>
  <c r="R23" i="1"/>
  <c r="E22" i="1"/>
  <c r="C21" i="1"/>
  <c r="N19" i="1"/>
  <c r="F18" i="1"/>
  <c r="D17" i="1"/>
  <c r="R15" i="1"/>
  <c r="F14" i="1"/>
  <c r="B8" i="1"/>
  <c r="H6" i="6"/>
  <c r="D109" i="1"/>
  <c r="P97" i="1"/>
  <c r="C84" i="1"/>
  <c r="C70" i="1"/>
  <c r="C63" i="1"/>
  <c r="B58" i="1"/>
  <c r="B54" i="1"/>
  <c r="D51" i="1"/>
  <c r="D47" i="1"/>
  <c r="F44" i="1"/>
  <c r="F40" i="1"/>
  <c r="B38" i="1"/>
  <c r="B34" i="1"/>
  <c r="D31" i="1"/>
  <c r="Q28" i="1"/>
  <c r="D27" i="1"/>
  <c r="B26" i="1"/>
  <c r="Q24" i="1"/>
  <c r="O23" i="1"/>
  <c r="J21" i="1"/>
  <c r="R19" i="1"/>
  <c r="E18" i="1"/>
  <c r="C17" i="1"/>
  <c r="J15" i="1"/>
  <c r="E14" i="1"/>
  <c r="F9" i="1"/>
  <c r="H19" i="6"/>
  <c r="D7" i="6"/>
  <c r="S111" i="1"/>
  <c r="E101" i="1"/>
  <c r="R98" i="1"/>
  <c r="N96" i="1"/>
  <c r="C92" i="1"/>
  <c r="G86" i="1"/>
  <c r="E81" i="1"/>
  <c r="C76" i="1"/>
  <c r="B72" i="1"/>
  <c r="E68" i="1"/>
  <c r="G64" i="1"/>
  <c r="D61" i="1"/>
  <c r="G58" i="1"/>
  <c r="D57" i="1"/>
  <c r="B56" i="1"/>
  <c r="F54" i="1"/>
  <c r="D53" i="1"/>
  <c r="B52" i="1"/>
  <c r="F50" i="1"/>
  <c r="D49" i="1"/>
  <c r="B48" i="1"/>
  <c r="F46" i="1"/>
  <c r="D45" i="1"/>
  <c r="B44" i="1"/>
  <c r="F42" i="1"/>
  <c r="D41" i="1"/>
  <c r="B40" i="1"/>
  <c r="F38" i="1"/>
  <c r="D37" i="1"/>
  <c r="B36" i="1"/>
  <c r="F34" i="1"/>
  <c r="D33" i="1"/>
  <c r="B32" i="1"/>
  <c r="F30" i="1"/>
  <c r="O29" i="1"/>
  <c r="D29" i="1"/>
  <c r="M28" i="1"/>
  <c r="B28" i="1"/>
  <c r="J27" i="1"/>
  <c r="Q26" i="1"/>
  <c r="F26" i="1"/>
  <c r="O25" i="1"/>
  <c r="D25" i="1"/>
  <c r="M24" i="1"/>
  <c r="B24" i="1"/>
  <c r="J23" i="1"/>
  <c r="F22" i="1"/>
  <c r="O21" i="1"/>
  <c r="D21" i="1"/>
  <c r="M20" i="1"/>
  <c r="D20" i="1"/>
  <c r="O19" i="1"/>
  <c r="G19" i="1"/>
  <c r="B18" i="1"/>
  <c r="N17" i="1"/>
  <c r="G16" i="1"/>
  <c r="N15" i="1"/>
  <c r="B6" i="1"/>
  <c r="M140" i="1"/>
  <c r="R103" i="1"/>
  <c r="G98" i="1"/>
  <c r="G90" i="1"/>
  <c r="E85" i="1"/>
  <c r="G74" i="1"/>
  <c r="E67" i="1"/>
  <c r="E60" i="1"/>
  <c r="C57" i="1"/>
  <c r="E54" i="1"/>
  <c r="G51" i="1"/>
  <c r="C49" i="1"/>
  <c r="G47" i="1"/>
  <c r="C45" i="1"/>
  <c r="G43" i="1"/>
  <c r="C41" i="1"/>
  <c r="E38" i="1"/>
  <c r="C37" i="1"/>
  <c r="E34" i="1"/>
  <c r="G31" i="1"/>
  <c r="N29" i="1"/>
  <c r="L28" i="1"/>
  <c r="G27" i="1"/>
  <c r="P26" i="1"/>
  <c r="N25" i="1"/>
  <c r="L24" i="1"/>
  <c r="G23" i="1"/>
  <c r="N21" i="1"/>
  <c r="L20" i="1"/>
  <c r="B20" i="1"/>
  <c r="F19" i="1"/>
  <c r="R17" i="1"/>
  <c r="M17" i="1"/>
  <c r="F16" i="1"/>
  <c r="L15" i="1"/>
  <c r="D15" i="1"/>
  <c r="B14" i="1"/>
  <c r="B10" i="1"/>
  <c r="E5" i="1"/>
  <c r="M136" i="1"/>
  <c r="G102" i="1"/>
  <c r="C100" i="1"/>
  <c r="G94" i="1"/>
  <c r="E89" i="1"/>
  <c r="G78" i="1"/>
  <c r="G73" i="1"/>
  <c r="F66" i="1"/>
  <c r="G59" i="1"/>
  <c r="F56" i="1"/>
  <c r="D55" i="1"/>
  <c r="F52" i="1"/>
  <c r="B50" i="1"/>
  <c r="F48" i="1"/>
  <c r="B46" i="1"/>
  <c r="D43" i="1"/>
  <c r="B42" i="1"/>
  <c r="D39" i="1"/>
  <c r="F36" i="1"/>
  <c r="D35" i="1"/>
  <c r="F32" i="1"/>
  <c r="B30" i="1"/>
  <c r="J29" i="1"/>
  <c r="F28" i="1"/>
  <c r="O27" i="1"/>
  <c r="M26" i="1"/>
  <c r="J25" i="1"/>
  <c r="F24" i="1"/>
  <c r="D23" i="1"/>
  <c r="B22" i="1"/>
  <c r="Q20" i="1"/>
  <c r="F20" i="1"/>
  <c r="M19" i="1"/>
  <c r="D19" i="1"/>
  <c r="Q17" i="1"/>
  <c r="J17" i="1"/>
  <c r="E16" i="1"/>
  <c r="P15" i="1"/>
  <c r="C15" i="1"/>
  <c r="F11" i="1"/>
  <c r="F7" i="1"/>
  <c r="B5" i="1"/>
  <c r="B126" i="1" l="1"/>
  <c r="B130" i="1"/>
  <c r="N22" i="1"/>
  <c r="H111" i="1"/>
  <c r="D119" i="1"/>
  <c r="D123" i="1"/>
  <c r="Q22" i="1"/>
  <c r="B109" i="1"/>
  <c r="D118" i="1"/>
  <c r="H121" i="1"/>
  <c r="D124" i="1"/>
  <c r="H127" i="1"/>
  <c r="H131" i="1"/>
  <c r="R22" i="1"/>
  <c r="H109" i="1"/>
  <c r="H118" i="1"/>
  <c r="B120" i="1"/>
  <c r="B122" i="1"/>
  <c r="H124" i="1"/>
  <c r="B128" i="1"/>
  <c r="M22" i="1"/>
  <c r="B111" i="1"/>
  <c r="B112" i="1"/>
  <c r="H117" i="1"/>
  <c r="B119" i="1"/>
  <c r="B123" i="1"/>
  <c r="H125" i="1"/>
  <c r="H129" i="1"/>
  <c r="J22" i="1"/>
  <c r="O22" i="1"/>
  <c r="B110" i="1"/>
  <c r="H112" i="1"/>
  <c r="B117" i="1"/>
  <c r="H119" i="1"/>
  <c r="D120" i="1"/>
  <c r="B121" i="1"/>
  <c r="D122" i="1"/>
  <c r="H123" i="1"/>
  <c r="B125" i="1"/>
  <c r="H126" i="1"/>
  <c r="H128" i="1"/>
  <c r="H130" i="1"/>
  <c r="P2" i="6"/>
  <c r="L22" i="1"/>
  <c r="P22" i="1"/>
  <c r="H110" i="1"/>
  <c r="D117" i="1"/>
  <c r="B118" i="1"/>
  <c r="H120" i="1"/>
  <c r="D121" i="1"/>
  <c r="H122" i="1"/>
  <c r="B124" i="1"/>
  <c r="D125" i="1"/>
  <c r="B127" i="1"/>
  <c r="B129" i="1"/>
  <c r="B131" i="1"/>
  <c r="J4" i="6"/>
  <c r="P29" i="6" l="1"/>
  <c r="P25" i="6"/>
  <c r="P21" i="6"/>
  <c r="P17" i="6"/>
  <c r="P11" i="6"/>
  <c r="P7" i="6"/>
  <c r="P3" i="6"/>
  <c r="P28" i="6"/>
  <c r="P24" i="6"/>
  <c r="P20" i="6"/>
  <c r="P16" i="6"/>
  <c r="P10" i="6"/>
  <c r="P27" i="6"/>
  <c r="P19" i="6"/>
  <c r="P9" i="6"/>
  <c r="P8" i="6"/>
  <c r="P26" i="6"/>
  <c r="P22" i="6"/>
  <c r="P14" i="6"/>
  <c r="P5" i="6"/>
  <c r="P23" i="6"/>
  <c r="P13" i="6"/>
  <c r="P18" i="6"/>
  <c r="P12" i="6"/>
  <c r="P15" i="6"/>
  <c r="P6" i="6"/>
  <c r="P4" i="6"/>
  <c r="J17" i="6"/>
  <c r="J19" i="6"/>
  <c r="J7" i="6"/>
  <c r="J9" i="6"/>
  <c r="J22" i="6"/>
  <c r="J21" i="6"/>
  <c r="J15" i="6"/>
  <c r="J8" i="6"/>
  <c r="J23" i="6"/>
  <c r="J5" i="6"/>
  <c r="J18" i="6"/>
  <c r="J16" i="6"/>
  <c r="J20" i="6"/>
  <c r="J6" i="6"/>
</calcChain>
</file>

<file path=xl/sharedStrings.xml><?xml version="1.0" encoding="utf-8"?>
<sst xmlns="http://schemas.openxmlformats.org/spreadsheetml/2006/main" count="1132" uniqueCount="688">
  <si>
    <t>d19041503.IB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</si>
  <si>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</si>
  <si>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</si>
  <si>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</si>
  <si>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</si>
  <si>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</si>
  <si>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</si>
  <si>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</si>
  <si>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</si>
  <si>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</si>
  <si>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</si>
  <si>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</si>
  <si>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</si>
  <si>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</si>
  <si>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</si>
  <si>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</si>
  <si>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</si>
  <si>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</si>
  <si>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</si>
  <si>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</si>
  <si>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</si>
  <si>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</si>
  <si>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</si>
  <si>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041755011.IB</t>
  </si>
  <si>
    <t>主体级别</t>
  </si>
  <si>
    <t>AAA</t>
  </si>
  <si>
    <t>011699145.IB</t>
  </si>
  <si>
    <t>*选择性黏贴</t>
  </si>
  <si>
    <t>101764039.IB</t>
  </si>
  <si>
    <t>数据年度</t>
  </si>
  <si>
    <t>2017年</t>
  </si>
  <si>
    <t>101762067.IB</t>
  </si>
  <si>
    <t>总资产</t>
  </si>
  <si>
    <t>011767014.IB</t>
  </si>
  <si>
    <t>负债率</t>
  </si>
  <si>
    <t>011762069.IB</t>
  </si>
  <si>
    <t>流动比率</t>
  </si>
  <si>
    <t>011755031.IB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</si>
  <si>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</si>
  <si>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</si>
  <si>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</si>
  <si>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</si>
  <si>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</si>
  <si>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</si>
  <si>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</si>
  <si>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</si>
  <si>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</si>
  <si>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</si>
  <si>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</si>
  <si>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</si>
  <si>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</si>
  <si>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</si>
  <si>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</si>
  <si>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</si>
  <si>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</si>
  <si>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</si>
  <si>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</si>
  <si>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</si>
  <si>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</si>
  <si>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</si>
  <si>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</si>
  <si>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</si>
  <si>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</si>
  <si>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</si>
  <si>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</si>
  <si>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</si>
  <si>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</si>
  <si>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</si>
  <si>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</si>
  <si>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</si>
  <si>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</si>
  <si>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</si>
  <si>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</si>
  <si>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</si>
  <si>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</si>
  <si>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</si>
  <si>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</si>
  <si>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</si>
  <si>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</si>
  <si>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</si>
  <si>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</si>
  <si>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</si>
  <si>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</si>
  <si>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</si>
  <si>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</si>
  <si>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</si>
  <si>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</si>
  <si>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</si>
  <si>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</si>
  <si>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</si>
  <si>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</si>
  <si>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</si>
  <si>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</si>
  <si>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</si>
  <si>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</si>
  <si>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</si>
  <si>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</si>
  <si>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</si>
  <si>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</si>
  <si>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</si>
  <si>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</si>
  <si>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</si>
  <si>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</si>
  <si>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</si>
  <si>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</si>
  <si>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</si>
  <si>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</si>
  <si>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</si>
  <si>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</si>
  <si>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</si>
  <si>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</si>
  <si>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</si>
  <si>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</si>
  <si>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</si>
  <si>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</si>
  <si>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</si>
  <si>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</si>
  <si>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</si>
  <si>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</si>
  <si>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</si>
  <si>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</si>
  <si>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011900696.IB</t>
  </si>
  <si>
    <t>20190402</t>
  </si>
  <si>
    <t>19冀中能源SCP004</t>
  </si>
  <si>
    <t>011900762.IB</t>
  </si>
  <si>
    <t>20190326</t>
  </si>
  <si>
    <t>19冀中峰峰SCP002</t>
  </si>
  <si>
    <t>101900313.IB</t>
  </si>
  <si>
    <t>20190311</t>
  </si>
  <si>
    <t>19冀中能源MTN001</t>
  </si>
  <si>
    <t>011900543.IB</t>
  </si>
  <si>
    <t>20190307</t>
  </si>
  <si>
    <t>19邯郸矿业SCP003</t>
  </si>
  <si>
    <t>011900518.IB</t>
  </si>
  <si>
    <t>20190305</t>
  </si>
  <si>
    <t>19冀中能源SCP003</t>
  </si>
  <si>
    <t>031900171.IB</t>
  </si>
  <si>
    <t>20190304</t>
  </si>
  <si>
    <t>19冀中能源PPN001</t>
  </si>
  <si>
    <t>041900079.IB</t>
  </si>
  <si>
    <t>20190228</t>
  </si>
  <si>
    <t>19冀中能源CP004</t>
  </si>
  <si>
    <t>041900071.IB</t>
  </si>
  <si>
    <t>20190226</t>
  </si>
  <si>
    <t>19邯郸矿业CP001</t>
  </si>
  <si>
    <t>011900445.IB</t>
  </si>
  <si>
    <t>20190225</t>
  </si>
  <si>
    <t>19冀中峰峰SCP001</t>
  </si>
  <si>
    <t>011900400.IB</t>
  </si>
  <si>
    <t>20190220</t>
  </si>
  <si>
    <t>19冀中能源SCP002</t>
  </si>
  <si>
    <t>101900202.IB</t>
  </si>
  <si>
    <t>20190218</t>
  </si>
  <si>
    <t>19冀中峰峰MTN001</t>
  </si>
  <si>
    <t>041900057.IB</t>
  </si>
  <si>
    <t>20190214</t>
  </si>
  <si>
    <t>19冀中能源CP003</t>
  </si>
  <si>
    <t>011900265.IB</t>
  </si>
  <si>
    <t>20190122</t>
  </si>
  <si>
    <t>19邯郸矿业SCP002</t>
  </si>
  <si>
    <t>041900033.IB</t>
  </si>
  <si>
    <t>20190118</t>
  </si>
  <si>
    <t>19冀中能源CP002</t>
  </si>
  <si>
    <t>011900134.IB</t>
  </si>
  <si>
    <t>20190115</t>
  </si>
  <si>
    <t>19冀中能源SCP001</t>
  </si>
  <si>
    <t>011900063.IB</t>
  </si>
  <si>
    <t>20190109</t>
  </si>
  <si>
    <t>19邯郸矿业SCP001</t>
  </si>
  <si>
    <t>041900009.IB</t>
  </si>
  <si>
    <t>20190108</t>
  </si>
  <si>
    <t>19冀中能源CP001</t>
  </si>
  <si>
    <t>011802563.IB</t>
  </si>
  <si>
    <t>20181225</t>
  </si>
  <si>
    <t>18冀中能源SCP020</t>
  </si>
  <si>
    <t>011802531.IB</t>
  </si>
  <si>
    <t>20181219</t>
  </si>
  <si>
    <t>18冀中能源SCP019</t>
  </si>
  <si>
    <t>011802495.IB</t>
  </si>
  <si>
    <t>20181214</t>
  </si>
  <si>
    <t>18冀中能源SCP018</t>
  </si>
  <si>
    <t>011802418.IB</t>
  </si>
  <si>
    <t>20181206</t>
  </si>
  <si>
    <t>18冀中能源SCP017</t>
  </si>
  <si>
    <t>101801273.IB</t>
  </si>
  <si>
    <t>20181130</t>
  </si>
  <si>
    <t>18冀中峰峰MTN004</t>
  </si>
  <si>
    <t>011802364.IB</t>
  </si>
  <si>
    <t>18华北制药SCP002</t>
  </si>
  <si>
    <t>101800873.IB</t>
  </si>
  <si>
    <t>20181127</t>
  </si>
  <si>
    <t>18冀中能源MTN002</t>
  </si>
  <si>
    <t>031800684.IB</t>
  </si>
  <si>
    <t>20181122</t>
  </si>
  <si>
    <t>18冀中能源PPN007</t>
  </si>
  <si>
    <t>011802293.IB</t>
  </si>
  <si>
    <t>18冀中能源SCP016</t>
  </si>
  <si>
    <t>101801319.IB</t>
  </si>
  <si>
    <t>20181112</t>
  </si>
  <si>
    <t>18冀中能源MTN004</t>
  </si>
  <si>
    <t>101801239.IB</t>
  </si>
  <si>
    <t>20181026</t>
  </si>
  <si>
    <t>18冀中能源MTN003</t>
  </si>
  <si>
    <t>011802016.IB</t>
  </si>
  <si>
    <t>20181023</t>
  </si>
  <si>
    <t>18冀中峰峰SCP009</t>
  </si>
  <si>
    <t>011801997.IB</t>
  </si>
  <si>
    <t>20181019</t>
  </si>
  <si>
    <t>18冀中能源SCP015</t>
  </si>
  <si>
    <t>101800964.IB</t>
  </si>
  <si>
    <t>20181015</t>
  </si>
  <si>
    <t>18冀中峰峰MTN003</t>
  </si>
  <si>
    <t>011801949.IB</t>
  </si>
  <si>
    <t>18冀中能源SCP014</t>
  </si>
  <si>
    <t>011801899.IB</t>
  </si>
  <si>
    <t>20181009</t>
  </si>
  <si>
    <t>18冀中峰峰SCP008</t>
  </si>
  <si>
    <t>011801874.IB</t>
  </si>
  <si>
    <t>20180926</t>
  </si>
  <si>
    <t>18冀中峰峰SCP007</t>
  </si>
  <si>
    <t>031800571.IB</t>
  </si>
  <si>
    <t>20180920</t>
  </si>
  <si>
    <t>18冀中能源PPN006</t>
  </si>
  <si>
    <t>031800557.IB</t>
  </si>
  <si>
    <t>20180914</t>
  </si>
  <si>
    <t>18冀中能源PPN004</t>
  </si>
  <si>
    <t>031800539.IB</t>
  </si>
  <si>
    <t>20180906</t>
  </si>
  <si>
    <t>18冀中能源PPN005</t>
  </si>
  <si>
    <t>011801706.IB</t>
  </si>
  <si>
    <t>20180829</t>
  </si>
  <si>
    <t>18冀中能源SCP013</t>
  </si>
  <si>
    <t>011800727.IB</t>
  </si>
  <si>
    <t>20180828</t>
  </si>
  <si>
    <t>18华北制药SCP001</t>
  </si>
  <si>
    <t>011801555.IB</t>
  </si>
  <si>
    <t>20180815</t>
  </si>
  <si>
    <t>18冀中峰峰SCP006</t>
  </si>
  <si>
    <t>031800464.IB</t>
  </si>
  <si>
    <t>20180814</t>
  </si>
  <si>
    <t>18冀中能源PPN003</t>
  </si>
  <si>
    <t>011801532.IB</t>
  </si>
  <si>
    <t>20180813</t>
  </si>
  <si>
    <t>18冀中能源SCP012</t>
  </si>
  <si>
    <t>011801470.IB</t>
  </si>
  <si>
    <t>20180806</t>
  </si>
  <si>
    <t>18冀中能源SCP011</t>
  </si>
  <si>
    <t>101800838.IB</t>
  </si>
  <si>
    <t>20180801</t>
  </si>
  <si>
    <t>18冀中峰峰MTN002</t>
  </si>
  <si>
    <t>031800423.IB</t>
  </si>
  <si>
    <t>20180731</t>
  </si>
  <si>
    <t>18冀中能源PPN002</t>
  </si>
  <si>
    <t>011801360.IB</t>
  </si>
  <si>
    <t>20180720</t>
  </si>
  <si>
    <t>18冀中峰峰SCP005</t>
  </si>
  <si>
    <t>011801329.IB</t>
  </si>
  <si>
    <t>20180718</t>
  </si>
  <si>
    <t>18冀中能源SCP010</t>
  </si>
  <si>
    <t>011801266.IB</t>
  </si>
  <si>
    <t>20180710</t>
  </si>
  <si>
    <t>18冀中峰峰SCP004</t>
  </si>
  <si>
    <t>011801237.IB</t>
  </si>
  <si>
    <t>20180704</t>
  </si>
  <si>
    <t>18冀中能源SCP009</t>
  </si>
  <si>
    <t>011801156.IB</t>
  </si>
  <si>
    <t>20180621</t>
  </si>
  <si>
    <t>18冀中能源SCP008</t>
  </si>
  <si>
    <t>011801129.IB</t>
  </si>
  <si>
    <t>20180614</t>
  </si>
  <si>
    <t>18冀中峰峰SCP003</t>
  </si>
  <si>
    <t>011801083.IB</t>
  </si>
  <si>
    <t>20180611</t>
  </si>
  <si>
    <t>18冀中能源SCP007</t>
  </si>
  <si>
    <t>011801066.IB</t>
  </si>
  <si>
    <t>20180606</t>
  </si>
  <si>
    <t>18冀中峰峰SCP002</t>
  </si>
  <si>
    <t>011801012.IB</t>
  </si>
  <si>
    <t>20180528</t>
  </si>
  <si>
    <t>18冀中峰峰SCP001</t>
  </si>
  <si>
    <t>011801001.IB</t>
  </si>
  <si>
    <t>20180524</t>
  </si>
  <si>
    <t>18冀中能源SCP006</t>
  </si>
  <si>
    <t>101800594.IB</t>
  </si>
  <si>
    <t>20180503</t>
  </si>
  <si>
    <t>18冀中能源MTN001</t>
  </si>
  <si>
    <t>011800857.IB</t>
  </si>
  <si>
    <t>20180425</t>
  </si>
  <si>
    <t>18冀中能源SCP005</t>
  </si>
  <si>
    <t>101800086.IB</t>
  </si>
  <si>
    <t>20180423</t>
  </si>
  <si>
    <t>18冀中峰峰MTN001</t>
  </si>
  <si>
    <t>011800756.IB</t>
  </si>
  <si>
    <t>20180419</t>
  </si>
  <si>
    <t>18冀中能源SCP004</t>
  </si>
  <si>
    <t>011800522.IB</t>
  </si>
  <si>
    <t>20180321</t>
  </si>
  <si>
    <t>18冀中能源SCP003</t>
  </si>
  <si>
    <t>114312.SZ</t>
  </si>
  <si>
    <t>20180320</t>
  </si>
  <si>
    <t>18冀峰03</t>
  </si>
  <si>
    <t>011800398.IB</t>
  </si>
  <si>
    <t>20180312</t>
  </si>
  <si>
    <t>18冀中能源SCP002</t>
  </si>
  <si>
    <t>011800338.IB</t>
  </si>
  <si>
    <t>20180306</t>
  </si>
  <si>
    <t>18冀中能源SCP001</t>
  </si>
  <si>
    <t>114296.SZ</t>
  </si>
  <si>
    <t>20180130</t>
  </si>
  <si>
    <t>18冀峰01</t>
  </si>
  <si>
    <t>031800034.IB</t>
  </si>
  <si>
    <t>20180118</t>
  </si>
  <si>
    <t>18冀中能源PPN001</t>
  </si>
  <si>
    <t>011760199.IB</t>
  </si>
  <si>
    <t>20171220</t>
  </si>
  <si>
    <t>17冀中能源SCP011</t>
  </si>
  <si>
    <t>011760189.IB</t>
  </si>
  <si>
    <t>20171206</t>
  </si>
  <si>
    <t>17冀中能源SCP010</t>
  </si>
  <si>
    <t>011760185.IB</t>
  </si>
  <si>
    <t>20171127</t>
  </si>
  <si>
    <t>17冀中能源SCP009</t>
  </si>
  <si>
    <t>011759114.IB</t>
  </si>
  <si>
    <t>20171121</t>
  </si>
  <si>
    <t>17冀中能源SCP008</t>
  </si>
  <si>
    <t>011754188.IB</t>
  </si>
  <si>
    <t>17冀中峰峰SCP011</t>
  </si>
  <si>
    <t>011760176.IB</t>
  </si>
  <si>
    <t>20171114</t>
  </si>
  <si>
    <t>17冀中峰峰SCP010</t>
  </si>
  <si>
    <t>011755066.IB</t>
  </si>
  <si>
    <t>20171110</t>
  </si>
  <si>
    <t>17冀中峰峰SCP009</t>
  </si>
  <si>
    <t>101754067.IB</t>
  </si>
  <si>
    <t>20171027</t>
  </si>
  <si>
    <t>17冀中峰峰MTN001</t>
  </si>
  <si>
    <t>101764070.IB</t>
  </si>
  <si>
    <t>20171026</t>
  </si>
  <si>
    <t>17冀中能源MTN002</t>
  </si>
  <si>
    <t>011760156.IB</t>
  </si>
  <si>
    <t>20171017</t>
  </si>
  <si>
    <t>17冀中能源SCP007</t>
  </si>
  <si>
    <t>011760154.IB</t>
  </si>
  <si>
    <t>20171016</t>
  </si>
  <si>
    <t>17冀中峰峰SCP008</t>
  </si>
  <si>
    <t>011760146.IB</t>
  </si>
  <si>
    <t>20170921</t>
  </si>
  <si>
    <t>17冀中能源SCP006</t>
  </si>
  <si>
    <t>011754146.IB</t>
  </si>
  <si>
    <t>20170914</t>
  </si>
  <si>
    <t>17冀中峰峰SCP007</t>
  </si>
  <si>
    <t>101755026.IB</t>
  </si>
  <si>
    <t>20170901</t>
  </si>
  <si>
    <t>17冀中能源MTN004</t>
  </si>
  <si>
    <t>011754139.IB</t>
  </si>
  <si>
    <t>20170830</t>
  </si>
  <si>
    <t>17冀中峰峰SCP006</t>
  </si>
  <si>
    <t>011760126.IB</t>
  </si>
  <si>
    <t>20170822</t>
  </si>
  <si>
    <t>17冀中能源SCP005</t>
  </si>
  <si>
    <t>101755019.IB</t>
  </si>
  <si>
    <t>20170818</t>
  </si>
  <si>
    <t>17冀中能源MTN003</t>
  </si>
  <si>
    <t>031753017.IB</t>
  </si>
  <si>
    <t>20170809</t>
  </si>
  <si>
    <t>17冀中能源PPN002</t>
  </si>
  <si>
    <t>031754018.IB</t>
  </si>
  <si>
    <t>20170804</t>
  </si>
  <si>
    <t>17冀中能源PPN001</t>
  </si>
  <si>
    <t>011755044.IB</t>
  </si>
  <si>
    <t>20170802</t>
  </si>
  <si>
    <t>17冀中峰峰SCP005</t>
  </si>
  <si>
    <t>112557.SZ</t>
  </si>
  <si>
    <t>20170725</t>
  </si>
  <si>
    <t>17冀中01</t>
  </si>
  <si>
    <t>011769028.IB</t>
  </si>
  <si>
    <t>20170720</t>
  </si>
  <si>
    <t>17冀中能源SCP004</t>
  </si>
  <si>
    <t>101755012.IB</t>
  </si>
  <si>
    <t>20170713</t>
  </si>
  <si>
    <t>17冀中能源MTN001</t>
  </si>
  <si>
    <t>114189.SZ</t>
  </si>
  <si>
    <t>20170707</t>
  </si>
  <si>
    <t>17峰峰01</t>
  </si>
  <si>
    <t>011754092.IB</t>
  </si>
  <si>
    <t>20170614</t>
  </si>
  <si>
    <t>17冀中峰峰SCP004</t>
  </si>
  <si>
    <t>011761039.IB</t>
  </si>
  <si>
    <t>17冀中能源SCP003</t>
  </si>
  <si>
    <t>011754050.IB</t>
  </si>
  <si>
    <t>20170322</t>
  </si>
  <si>
    <t>17冀中峰峰SCP003</t>
  </si>
  <si>
    <t>011761020.IB</t>
  </si>
  <si>
    <t>20170320</t>
  </si>
  <si>
    <t>17冀中能源SCP002</t>
  </si>
  <si>
    <t>011755007.IB</t>
  </si>
  <si>
    <t>20170123</t>
  </si>
  <si>
    <t>17冀中峰峰SCP002</t>
  </si>
  <si>
    <t>011761006.IB</t>
  </si>
  <si>
    <t>20170117</t>
  </si>
  <si>
    <t>17冀中能源SCP001</t>
  </si>
  <si>
    <t>011761003.IB</t>
  </si>
  <si>
    <t>20170110</t>
  </si>
  <si>
    <t>17冀中峰峰SCP001</t>
  </si>
  <si>
    <t>011697005.IB</t>
  </si>
  <si>
    <t>20161209</t>
  </si>
  <si>
    <t>16冀中峰峰SCP011</t>
  </si>
  <si>
    <t>011698991.IB</t>
  </si>
  <si>
    <t>20161207</t>
  </si>
  <si>
    <t>16冀中能源SCP005</t>
  </si>
  <si>
    <t>011698955.IB</t>
  </si>
  <si>
    <t>20161130</t>
  </si>
  <si>
    <t>16冀中峰峰SCP010</t>
  </si>
  <si>
    <t>011698895.IB</t>
  </si>
  <si>
    <t>20161123</t>
  </si>
  <si>
    <t>16冀中峰峰SCP009</t>
  </si>
  <si>
    <t>011698718.IB</t>
  </si>
  <si>
    <t>20161028</t>
  </si>
  <si>
    <t>16冀中峰峰SCP008</t>
  </si>
  <si>
    <t>011698562.IB</t>
  </si>
  <si>
    <t>20161012</t>
  </si>
  <si>
    <t>16冀中能源SCP004</t>
  </si>
  <si>
    <t>011698527.IB</t>
  </si>
  <si>
    <t>20160928</t>
  </si>
  <si>
    <t>16冀中能源SCP003</t>
  </si>
  <si>
    <t>011698344.IB</t>
  </si>
  <si>
    <t>20160823</t>
  </si>
  <si>
    <t>16冀中峰峰SCP007</t>
  </si>
  <si>
    <t>112432.SZ</t>
  </si>
  <si>
    <t>20160819</t>
  </si>
  <si>
    <t>16冀中02</t>
  </si>
  <si>
    <t>011698099.IB</t>
  </si>
  <si>
    <t>20160714</t>
  </si>
  <si>
    <t>16冀中能源SCP002</t>
  </si>
  <si>
    <t>011699638.IB</t>
  </si>
  <si>
    <t>20160419</t>
  </si>
  <si>
    <t>16冀中峰峰SCP006</t>
  </si>
  <si>
    <t>112292.SZ</t>
  </si>
  <si>
    <t>20160322</t>
  </si>
  <si>
    <t>16冀中01</t>
  </si>
  <si>
    <t>011699477.IB</t>
  </si>
  <si>
    <t>20160317</t>
  </si>
  <si>
    <t>16冀中峰峰SCP005</t>
  </si>
  <si>
    <t>011699386.IB</t>
  </si>
  <si>
    <t>20160309</t>
  </si>
  <si>
    <t>16冀中峰峰SCP004</t>
  </si>
  <si>
    <t>101655005.IB</t>
  </si>
  <si>
    <t>20160303</t>
  </si>
  <si>
    <t>16冀中能源MTN002</t>
  </si>
  <si>
    <t>011699295.IB</t>
  </si>
  <si>
    <t>20160226</t>
  </si>
  <si>
    <t>16冀中峰峰SCP003</t>
  </si>
  <si>
    <t>011699263.IB</t>
  </si>
  <si>
    <t>20160224</t>
  </si>
  <si>
    <t>16冀中能源SCP001</t>
  </si>
  <si>
    <t>011699182.IB</t>
  </si>
  <si>
    <t>20160126</t>
  </si>
  <si>
    <t>16冀中峰峰SCP002</t>
  </si>
  <si>
    <t>101653006.IB</t>
  </si>
  <si>
    <t>20160118</t>
  </si>
  <si>
    <t>16冀中能源MTN001</t>
  </si>
  <si>
    <t>011699045.IB</t>
  </si>
  <si>
    <t>20160112</t>
  </si>
  <si>
    <t>16冀中峰峰SCP001</t>
  </si>
  <si>
    <t>011598150.IB</t>
  </si>
  <si>
    <t>20151229</t>
  </si>
  <si>
    <t>15邯郸矿业SCP001</t>
  </si>
  <si>
    <t>101553035.IB</t>
  </si>
  <si>
    <t>20151023</t>
  </si>
  <si>
    <t>15冀中MTN002</t>
  </si>
  <si>
    <t>041556035.IB</t>
  </si>
  <si>
    <t>20150917</t>
  </si>
  <si>
    <t>15峰峰CP004</t>
  </si>
  <si>
    <t>041556031.IB</t>
  </si>
  <si>
    <t>20150827</t>
  </si>
  <si>
    <t>15峰峰CP003</t>
  </si>
  <si>
    <t>101562027.IB</t>
  </si>
  <si>
    <t>20150728</t>
  </si>
  <si>
    <t>15邯郸矿业MTN002</t>
  </si>
  <si>
    <t>041553047.IB</t>
  </si>
  <si>
    <t>20150720</t>
  </si>
  <si>
    <t>15冀中CP002</t>
  </si>
  <si>
    <t>031553030.IB</t>
  </si>
  <si>
    <t>20150629</t>
  </si>
  <si>
    <t>15冀中PPN002</t>
  </si>
  <si>
    <t>041556024.IB</t>
  </si>
  <si>
    <t>20150619</t>
  </si>
  <si>
    <t>15峰峰CP002</t>
  </si>
  <si>
    <t>031553022.IB</t>
  </si>
  <si>
    <t>20150521</t>
  </si>
  <si>
    <t>15冀中PPN001</t>
  </si>
  <si>
    <t>041556012.IB</t>
  </si>
  <si>
    <t>20150422</t>
  </si>
  <si>
    <t>15峰峰CP001</t>
  </si>
  <si>
    <t>101555007.IB</t>
  </si>
  <si>
    <t>20150407</t>
  </si>
  <si>
    <t>15邯郸矿业MTN001</t>
  </si>
  <si>
    <t>041553014.IB</t>
  </si>
  <si>
    <t>20150227</t>
  </si>
  <si>
    <t>15冀中CP001</t>
  </si>
  <si>
    <t>101553002.IB</t>
  </si>
  <si>
    <t>20150113</t>
  </si>
  <si>
    <t>15峰峰MTN001</t>
  </si>
  <si>
    <t>041453120.IB</t>
  </si>
  <si>
    <t>20141215</t>
  </si>
  <si>
    <t>14邯郸矿业CP001</t>
  </si>
  <si>
    <t>101453031.IB</t>
  </si>
  <si>
    <t>20141114</t>
  </si>
  <si>
    <t>14峰峰MTN001</t>
  </si>
  <si>
    <t>041453085.IB</t>
  </si>
  <si>
    <t>20140730</t>
  </si>
  <si>
    <t>14冀中CP001</t>
  </si>
  <si>
    <t>041456012.IB</t>
  </si>
  <si>
    <t>20140408</t>
  </si>
  <si>
    <t>14峰峰CP002</t>
  </si>
  <si>
    <t>041456002.IB</t>
  </si>
  <si>
    <t>20140116</t>
  </si>
  <si>
    <t>14峰峰CP001</t>
  </si>
  <si>
    <t>031357001.IB</t>
  </si>
  <si>
    <t>20130726</t>
  </si>
  <si>
    <t>13冀中PPN001</t>
  </si>
  <si>
    <t>031390012.IB</t>
  </si>
  <si>
    <t>20130118</t>
  </si>
  <si>
    <t>13冀中张矿PPN001</t>
  </si>
  <si>
    <t>1282385.IB</t>
  </si>
  <si>
    <t>20120928</t>
  </si>
  <si>
    <t>12冀中MTN1</t>
  </si>
  <si>
    <t>1282234.IB</t>
  </si>
  <si>
    <t>20120628</t>
  </si>
  <si>
    <t>12华药MTN1</t>
  </si>
  <si>
    <t>031257001.IB</t>
  </si>
  <si>
    <t>20120524</t>
  </si>
  <si>
    <t>12冀中PPN001</t>
  </si>
  <si>
    <t>1182306.IB</t>
  </si>
  <si>
    <t>20111103</t>
  </si>
  <si>
    <t>11峰峰MTN2</t>
  </si>
  <si>
    <t>112028.SZ</t>
  </si>
  <si>
    <t>20110504</t>
  </si>
  <si>
    <t>11冀能债</t>
  </si>
  <si>
    <t>1082092.IB</t>
  </si>
  <si>
    <t>20100504</t>
  </si>
  <si>
    <t>10冀中MTN2</t>
  </si>
  <si>
    <t>1082079.IB</t>
  </si>
  <si>
    <t>20100422</t>
  </si>
  <si>
    <t>10冀中MTN1</t>
  </si>
  <si>
    <t>098084.IB</t>
  </si>
  <si>
    <t>20090518</t>
  </si>
  <si>
    <t>09冀建投债01</t>
  </si>
  <si>
    <t>098085.IB</t>
  </si>
  <si>
    <t>09冀建投债02</t>
  </si>
  <si>
    <t>098074.IB</t>
  </si>
  <si>
    <t>20090506</t>
  </si>
  <si>
    <t>09冀能债01</t>
  </si>
  <si>
    <t>098075.IB</t>
  </si>
  <si>
    <t>09冀能债02</t>
  </si>
  <si>
    <t>114297.SZ</t>
  </si>
  <si>
    <t>18冀峰02</t>
  </si>
  <si>
    <t>114313.SZ</t>
  </si>
  <si>
    <t>18冀峰04</t>
  </si>
  <si>
    <t>历史主体评级</t>
  </si>
  <si>
    <t>发布日期</t>
  </si>
  <si>
    <t>主体资信级别</t>
  </si>
  <si>
    <t>评级展望</t>
  </si>
  <si>
    <t>评级机构</t>
  </si>
  <si>
    <t>20190222</t>
  </si>
  <si>
    <t>稳定</t>
  </si>
  <si>
    <t>东方金诚国际信用评估有限公司</t>
  </si>
  <si>
    <t>20190211</t>
  </si>
  <si>
    <t>20181228</t>
  </si>
  <si>
    <t>20181120</t>
  </si>
  <si>
    <t>大公国际资信评估有限公司</t>
  </si>
  <si>
    <t>20181106</t>
  </si>
  <si>
    <t>20180822</t>
  </si>
  <si>
    <t>20180713</t>
  </si>
  <si>
    <t>20180626</t>
  </si>
  <si>
    <t>20180125</t>
  </si>
  <si>
    <t>--</t>
  </si>
  <si>
    <t>20180123</t>
  </si>
  <si>
    <t>20170821</t>
  </si>
  <si>
    <t>20170727</t>
  </si>
  <si>
    <t>20170711</t>
  </si>
  <si>
    <t>20170706</t>
  </si>
  <si>
    <t>20170616</t>
  </si>
  <si>
    <t>20170103</t>
  </si>
  <si>
    <t>20161223</t>
  </si>
  <si>
    <t>20160617</t>
  </si>
  <si>
    <t>20160613</t>
  </si>
  <si>
    <t>20151223</t>
  </si>
  <si>
    <t>20150731</t>
  </si>
  <si>
    <t>20150729</t>
  </si>
  <si>
    <t>20150702</t>
  </si>
  <si>
    <t>20150512</t>
  </si>
  <si>
    <t>20150130</t>
  </si>
  <si>
    <t>20141209</t>
  </si>
  <si>
    <t>联合资信评估有限公司</t>
  </si>
  <si>
    <t>20141121</t>
  </si>
  <si>
    <t>20140814</t>
  </si>
  <si>
    <t>20140725</t>
  </si>
  <si>
    <t>20140626</t>
  </si>
  <si>
    <t>20140228</t>
  </si>
  <si>
    <t>20131022</t>
  </si>
  <si>
    <t>20130814</t>
  </si>
  <si>
    <t>20130619</t>
  </si>
  <si>
    <t>20120830</t>
  </si>
  <si>
    <t>20120620</t>
  </si>
  <si>
    <t>20120221</t>
  </si>
  <si>
    <t>上海新世纪资信评估投资服务有限公司</t>
  </si>
  <si>
    <t>20110913</t>
  </si>
  <si>
    <t>20110629</t>
  </si>
  <si>
    <t>20110421</t>
  </si>
  <si>
    <t>20100607</t>
  </si>
  <si>
    <t>AA+</t>
  </si>
  <si>
    <t>正面</t>
  </si>
  <si>
    <t>20100408</t>
  </si>
  <si>
    <t>20091226</t>
  </si>
  <si>
    <t>20091026</t>
  </si>
  <si>
    <t>20081224</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</si>
  <si>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</si>
  <si>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</si>
  <si>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</si>
  <si>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</si>
  <si>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</si>
  <si>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</si>
  <si>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</si>
  <si>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</si>
  <si>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开滦(集团)有限责任公司</t>
  </si>
  <si>
    <t>AA+正面上调至AAA稳定</t>
  </si>
  <si>
    <t>中诚信国际信用评级有限责任公司</t>
  </si>
  <si>
    <t>作为河北省第二大煤炭企业，公司煤炭资源储量丰富、煤种齐全，规模优势突出，区位优势显著。债务方面，近两年公司合理控制债务规模。外部支持方面，公司作为河北省重要的省属企业之一，可以得到政府的大力支持。</t>
  </si>
  <si>
    <t>淮北矿业(集团)有限责任公司</t>
  </si>
  <si>
    <t>AA+稳定上调至AAA稳定</t>
  </si>
  <si>
    <t>作为安徽省四大国有重点煤炭企业之一，公司煤炭资源储量丰富。近年来，公司主动控制债务规模，财务杠杆水平显著下降。公司子公司淮北矿业控股股份有限公司及子公司湖南雷鸣西部民爆有限公司通过非公开发行股票及支付现金收购淮矿股份，其整体上市有助于公司融资渠道拓展和资本实力的增强，此外，公司间接融资渠道畅通。</t>
  </si>
  <si>
    <t>新疆新鑫矿业股份有限公司</t>
  </si>
  <si>
    <t>AA负面上调至AA稳定</t>
  </si>
  <si>
    <t>受益于产品持续回升，跟踪期内公司经营压力逐步缓解，在产品产销量下滑情况下仍实现净利润较大程度的减亏，现金流持续好转，同时公司保持相对稳健的财务政策，中短期内债务风险可控。</t>
  </si>
  <si>
    <t>彬县煤炭有限责任公司</t>
  </si>
  <si>
    <t>鹏元资信评估有限公司</t>
  </si>
  <si>
    <t>公司煤矿煤炭资源储量较丰富，资产原煤产能扩大，公司自产原煤及甲醇业务收入大幅增长、盈利状况改善，经营活动现金流持续呈净流入状态。</t>
  </si>
  <si>
    <t>内蒙古伊泰煤炭股份有限公司</t>
  </si>
  <si>
    <t>在煤炭行业持续回暖、公司市场竞争力优势愈加显著等积极因素支持下，2015～2017年，公司盈利能力持续增强，财富创造能力不断增强；公司经营性净现金流持续增长、货币资金充裕、融资能力强，偿债来源能够为债务偿付提供可靠保障；有息债务规模持续增长，存在一定偿债压力，但偿债来源对存量债务的保障能力强，未来存在一定的债务增长空间，总债务偿还能力良好。综合来看，公司的抗风险能力极强。</t>
  </si>
  <si>
    <t>近一年来同行业发债企业主体评级下调情况</t>
  </si>
  <si>
    <t>主体资信级别下调</t>
  </si>
  <si>
    <t>主体评级展望下调</t>
  </si>
  <si>
    <t>北京京煤集团有限责任公司</t>
  </si>
  <si>
    <t>AA+稳定下调至AA稳定</t>
  </si>
  <si>
    <t>公司无偿划转子公司昊华能源使得公司重要业务板块规模大幅下降，业务范围缩小，削弱了京煤集团的整体抗风险能力，对公司的偿债能力将产生一定影响。</t>
  </si>
  <si>
    <t>永泰能源股份有限公司</t>
  </si>
  <si>
    <t>AA+稳定下调至CC负面</t>
  </si>
  <si>
    <t>违约，触发交叉保护条款。</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</si>
  <si>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</si>
  <si>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</si>
  <si>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</si>
  <si>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</si>
  <si>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</si>
  <si>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</si>
  <si>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</si>
  <si>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</si>
  <si>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</si>
  <si>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</si>
  <si>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</si>
  <si>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</si>
  <si>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</si>
  <si>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</si>
  <si>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</si>
  <si>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</si>
  <si>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</si>
  <si>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</si>
  <si>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</si>
  <si>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</si>
  <si>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</si>
  <si>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</si>
  <si>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</si>
  <si>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</si>
  <si>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</si>
  <si>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冀中能源集团有限责任公司</t>
  </si>
  <si>
    <t>地方国有企业</t>
  </si>
  <si>
    <t>能源--能源Ⅱ--石油、天然气与供消费用燃料--煤炭与消费用燃料</t>
  </si>
  <si>
    <t>河北省邢台市桥西区中兴西大街191号</t>
  </si>
  <si>
    <t>冀中能源集团有限责任公司成立于2008年6月，位于邢台市中兴西大街191号，由河北金牛能源集团有限责任公司(以下简称“金能集团”)与峰峰集团有限公司合并重组成立，注册资本金为681,672.28万元，法人代表为王社平。河北省国资委持股比例为100%。根据《冀中能源集团有限责任公司“十二五”战略规划》，公司发展战略为：一体两翼、多元发展、整合跨越、强大优质。公司旨在充分发挥技术、品牌优势，加强医药产业技术创新，促进医药产业规模升级和产业升级。培育和壮大以煤炭为主体的现代物流产业，形成大型的现代物流网络和大型煤炭储备基地。公司大力推进集团层面的产业整合、组织整合、文化整合。公司着力实施“翻番”工建立以企业为主体、市场为导向的技术创新体系，向科技要产量、要资源、要效益、要安全、建设智能型企业。</t>
  </si>
  <si>
    <t>河北省人民政府国有资产监督管理委员会</t>
  </si>
  <si>
    <t/>
  </si>
  <si>
    <t>A-1</t>
  </si>
  <si>
    <t>永城煤电控股集团有限公司</t>
  </si>
  <si>
    <t>晋能集团有限公司</t>
  </si>
  <si>
    <t>阳泉煤业(集团)有限责任公司</t>
  </si>
  <si>
    <t>大同煤矿集团有限责任公司</t>
  </si>
  <si>
    <t>兖矿集团有限公司</t>
  </si>
  <si>
    <t>淮南矿业(集团)有限责任公司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</si>
</sst>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冀中能源集团有限责任公司</v>
      </c>
      <c r="C4" s="120"/>
      <c r="D4" s="57" t="s">
        <v>3</v>
      </c>
      <c r="E4" s="119" t="str">
        <f>[1]!s_info_nature(A2)</f>
        <v>地方国有企业</v>
      </c>
      <c r="F4" s="120"/>
      <c r="G4" s="120"/>
      <c r="H4" s="19"/>
    </row>
    <row r="5" spans="1:20" s="17" customFormat="1" ht="14.25" customHeight="1" x14ac:dyDescent="0.25">
      <c r="A5" s="57" t="s">
        <v>4</v>
      </c>
      <c r="B5" s="119" t="str">
        <f>[1]!b_issuer_windindustry(A2,9)</f>
        <v>能源--能源Ⅱ--石油、天然气与供消费用燃料--煤炭与消费用燃料</v>
      </c>
      <c r="C5" s="120"/>
      <c r="D5" s="57" t="s">
        <v>5</v>
      </c>
      <c r="E5" s="119" t="str">
        <f>[1]!b_issuer_regaddress(A2)</f>
        <v>河北省邢台市桥西区中兴西大街191号</v>
      </c>
      <c r="F5" s="120"/>
      <c r="G5" s="120"/>
    </row>
    <row r="6" spans="1:20" s="17" customFormat="1" ht="81" customHeight="1" x14ac:dyDescent="0.25">
      <c r="A6" s="57" t="s">
        <v>6</v>
      </c>
      <c r="B6" s="121" t="str">
        <f>[1]!s_info_briefing(A2)</f>
        <v>冀中能源集团有限责任公司成立于2008年6月，位于邢台市中兴西大街191号，由河北金牛能源集团有限责任公司(以下简称“金能集团”)与峰峰集团有限公司合并重组成立，注册资本金为681,672.28万元，法人代表为王社平。河北省国资委持股比例为100%。根据《冀中能源集团有限责任公司“十二五”战略规划》，公司发展战略为：一体两翼、多元发展、整合跨越、强大优质。公司旨在充分发挥技术、品牌优势，加强医药产业技术创新，促进医药产业规模升级和产业升级。培育和壮大以煤炭为主体的现代物流产业，形成大型的现代物流网络和大型煤炭储备基地。公司大力推进集团层面的产业整合、组织整合、文化整合。公司着力实施“翻番”工建立以企业为主体、市场为导向的技术创新体系，向科技要产量、要资源、要效益、要安全、建设智能型企业。</v>
      </c>
      <c r="C6" s="120"/>
      <c r="D6" s="120"/>
      <c r="E6" s="120"/>
      <c r="F6" s="120"/>
      <c r="G6" s="120"/>
    </row>
    <row r="7" spans="1:20" s="17" customFormat="1" x14ac:dyDescent="0.25">
      <c r="A7" s="59" t="s">
        <v>7</v>
      </c>
      <c r="B7" s="122" t="str">
        <f>[1]!b_issuer_shareholder(A2,"",1)</f>
        <v>河北省人民政府国有资产监督管理委员会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d19041503.IB</v>
      </c>
      <c r="K14" s="26"/>
      <c r="L14" s="27" t="str">
        <f>T15</f>
        <v>041755011.IB</v>
      </c>
      <c r="M14" s="27" t="str">
        <f>T16</f>
        <v>011699145.IB</v>
      </c>
      <c r="N14" s="27" t="str">
        <f>T17</f>
        <v>101764039.IB</v>
      </c>
      <c r="O14" s="27" t="str">
        <f>T18</f>
        <v>101762067.IB</v>
      </c>
      <c r="P14" s="27" t="str">
        <f>T19</f>
        <v>011767014.IB</v>
      </c>
      <c r="Q14" s="27" t="str">
        <f>T20</f>
        <v>011762069.IB</v>
      </c>
      <c r="R14" s="5" t="str">
        <f>T21</f>
        <v>011755031.IB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冀中能源集团有限责任公司</v>
      </c>
      <c r="K15" s="138"/>
      <c r="L15" s="8" t="str">
        <f>[1]!b_info_issuer(L14)</f>
        <v>永城煤电控股集团有限公司</v>
      </c>
      <c r="M15" s="8" t="str">
        <f>[1]!b_info_issuer(M14)</f>
        <v>开滦(集团)有限责任公司</v>
      </c>
      <c r="N15" s="8" t="str">
        <f>[1]!b_info_issuer(N14)</f>
        <v>晋能集团有限公司</v>
      </c>
      <c r="O15" s="8" t="str">
        <f>[1]!b_info_issuer(O14)</f>
        <v>阳泉煤业(集团)有限责任公司</v>
      </c>
      <c r="P15" s="8" t="str">
        <f>[1]!b_info_issuer(P14)</f>
        <v>大同煤矿集团有限责任公司</v>
      </c>
      <c r="Q15" s="8" t="str">
        <f>[1]!b_info_issuer(Q14)</f>
        <v>兖矿集团有限公司</v>
      </c>
      <c r="R15" s="8" t="str">
        <f>[1]!b_info_issuer(R14)</f>
        <v>淮南矿业(集团)有限责任公司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2303.9890316948999</v>
      </c>
      <c r="K19" s="124"/>
      <c r="L19" s="68">
        <f>[1]!b_stm07_bs(L14,74,L13,1)/100000000</f>
        <v>1420.0951192255</v>
      </c>
      <c r="M19" s="68">
        <f>[1]!b_stm07_bs(M14,74,M13,1)/100000000</f>
        <v>794.70855290809993</v>
      </c>
      <c r="N19" s="68">
        <f>[1]!b_stm07_bs(N14,74,N13,1)/100000000</f>
        <v>2621.1132585657001</v>
      </c>
      <c r="O19" s="68">
        <f>[1]!b_stm07_bs(O14,74,O13,1)/100000000</f>
        <v>2153.8840812865001</v>
      </c>
      <c r="P19" s="68">
        <f>[1]!b_stm07_bs(P14,74,P13,1)/100000000</f>
        <v>3325.3970940366999</v>
      </c>
      <c r="Q19" s="68">
        <f>[1]!b_stm07_bs(Q14,74,Q13,1)/100000000</f>
        <v>2877.6959161413001</v>
      </c>
      <c r="R19" s="68">
        <f>[1]!b_stm07_bs(R14,74,R13,1)/100000000</f>
        <v>1561.8099556843999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0.82788300000000004</v>
      </c>
      <c r="K20" s="124"/>
      <c r="L20" s="10">
        <f>[1]!s_fa_debttoassets(L14,L13)/100</f>
        <v>0.8000790000000001</v>
      </c>
      <c r="M20" s="10">
        <f>[1]!s_fa_debttoassets(M14,M13)/100</f>
        <v>0.70748500000000003</v>
      </c>
      <c r="N20" s="10">
        <f>[1]!s_fa_debttoassets(N14,N13)/100</f>
        <v>0.78914100000000009</v>
      </c>
      <c r="O20" s="10">
        <f>[1]!s_fa_debttoassets(O14,O13)/100</f>
        <v>0.83549400000000007</v>
      </c>
      <c r="P20" s="10">
        <f>[1]!s_fa_debttoassets(P14,P13)/100</f>
        <v>0.79461599999999999</v>
      </c>
      <c r="Q20" s="10">
        <f>[1]!s_fa_debttoassets(Q14,Q13)/100</f>
        <v>0.73585899999999993</v>
      </c>
      <c r="R20" s="10">
        <f>[1]!s_fa_debttoassets(R14,R13)/100</f>
        <v>0.77580299999999991</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0.98480000000000001</v>
      </c>
      <c r="K21" s="124"/>
      <c r="L21" s="68">
        <f>[1]!s_fa_current(L14,L13)</f>
        <v>0.68200000000000005</v>
      </c>
      <c r="M21" s="68">
        <f>[1]!s_fa_current(M14,M13)</f>
        <v>0.877</v>
      </c>
      <c r="N21" s="68">
        <f>[1]!s_fa_current(N14,N13)</f>
        <v>0.66590000000000005</v>
      </c>
      <c r="O21" s="68">
        <f>[1]!s_fa_current(O14,O13)</f>
        <v>0.5635</v>
      </c>
      <c r="P21" s="68">
        <f>[1]!s_fa_current(P14,P13)</f>
        <v>0.88070000000000004</v>
      </c>
      <c r="Q21" s="68">
        <f>[1]!s_fa_current(Q14,Q13)</f>
        <v>1.0124</v>
      </c>
      <c r="R21" s="68">
        <f>[1]!s_fa_current(R14,R13)</f>
        <v>0.71109999999999995</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3.1378130795905381</v>
      </c>
      <c r="K22" s="124"/>
      <c r="L22" s="66">
        <f>(公式页!L96+公式页!L97+公式页!L98+公式页!L99+公式页!L100+公式页!L101)/公式页!L103</f>
        <v>2.1510145143779673</v>
      </c>
      <c r="M22" s="66">
        <f t="shared" ref="M22:R22" si="0">(M96+M97+M98+M99+M100+M101)/M103</f>
        <v>1.5379599146659311</v>
      </c>
      <c r="N22" s="66">
        <f t="shared" si="0"/>
        <v>2.5418535799789979</v>
      </c>
      <c r="O22" s="66">
        <f t="shared" si="0"/>
        <v>3.029775480902015</v>
      </c>
      <c r="P22" s="66">
        <f t="shared" si="0"/>
        <v>2.8863166125488671</v>
      </c>
      <c r="Q22" s="66">
        <f t="shared" si="0"/>
        <v>1.8815074348153999</v>
      </c>
      <c r="R22" s="66">
        <f t="shared" si="0"/>
        <v>2.0853688739448843</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4.9299999999999997E-2</v>
      </c>
      <c r="K23" s="124"/>
      <c r="L23" s="68">
        <f>[1]!s_fa_ebitdatodebt(L14,L13)</f>
        <v>7.4700000000000003E-2</v>
      </c>
      <c r="M23" s="68">
        <f>[1]!s_fa_ebitdatodebt(M14,M13)</f>
        <v>6.54E-2</v>
      </c>
      <c r="N23" s="68">
        <f>[1]!s_fa_ebitdatodebt(N14,N13)</f>
        <v>0.151</v>
      </c>
      <c r="O23" s="68">
        <f>[1]!s_fa_ebitdatodebt(O14,O13)</f>
        <v>7.5600000000000001E-2</v>
      </c>
      <c r="P23" s="68">
        <f>[1]!s_fa_ebitdatodebt(P14,P13)</f>
        <v>4.0500000000000001E-2</v>
      </c>
      <c r="Q23" s="68">
        <f>[1]!s_fa_ebitdatodebt(Q14,Q13)</f>
        <v>8.7599999999999997E-2</v>
      </c>
      <c r="R23" s="68">
        <f>[1]!s_fa_ebitdatodebt(R14,R13)</f>
        <v>9.1399999999999995E-2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2240.0105717624001</v>
      </c>
      <c r="K24" s="124"/>
      <c r="L24" s="68">
        <f>[1]!b_stm07_is(L14,9,L13,1)/100000000</f>
        <v>412.35044218830001</v>
      </c>
      <c r="M24" s="68">
        <f>[1]!b_stm07_is(M14,9,M13,1)/100000000</f>
        <v>861.14439167720002</v>
      </c>
      <c r="N24" s="68">
        <f>[1]!b_stm07_is(N14,9,N13,1)/100000000</f>
        <v>1029.1762109844001</v>
      </c>
      <c r="O24" s="68">
        <f>[1]!b_stm07_is(O14,9,O13,1)/100000000</f>
        <v>1607.2921187608999</v>
      </c>
      <c r="P24" s="68">
        <f>[1]!b_stm07_is(P14,9,P13,1)/100000000</f>
        <v>1600.5876847343</v>
      </c>
      <c r="Q24" s="68">
        <f>[1]!b_stm07_is(Q14,9,Q13,1)/100000000</f>
        <v>1990.840411831</v>
      </c>
      <c r="R24" s="68">
        <f>[1]!b_stm07_is(R14,9,R13,1)/100000000</f>
        <v>758.49030086360005</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1.1277999999999999</v>
      </c>
      <c r="K25" s="124"/>
      <c r="L25" s="11">
        <f>[1]!s_fa_salescashintoor(L14,L13)%</f>
        <v>1.0349999999999999</v>
      </c>
      <c r="M25" s="11">
        <f>[1]!s_fa_salescashintoor(M14,M13)%</f>
        <v>0.81079999999999997</v>
      </c>
      <c r="N25" s="11">
        <f>[1]!s_fa_salescashintoor(N14,N13)%</f>
        <v>1.1795</v>
      </c>
      <c r="O25" s="11">
        <f>[1]!s_fa_salescashintoor(O14,O13)%</f>
        <v>0.83460000000000012</v>
      </c>
      <c r="P25" s="11">
        <f>[1]!s_fa_salescashintoor(P14,P13)%</f>
        <v>1.2176</v>
      </c>
      <c r="Q25" s="11">
        <f>[1]!s_fa_salescashintoor(Q14,Q13)%</f>
        <v>1.2012</v>
      </c>
      <c r="R25" s="11">
        <f>[1]!s_fa_salescashintoor(R14,R13)%</f>
        <v>1.1247</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7.3720999999999995E-2</v>
      </c>
      <c r="K26" s="124"/>
      <c r="L26" s="11">
        <f>[1]!s_fa_grossprofitmargin(L14,L13)%</f>
        <v>0.218198</v>
      </c>
      <c r="M26" s="11">
        <f>[1]!s_fa_grossprofitmargin(M14,M13)%</f>
        <v>6.3847000000000001E-2</v>
      </c>
      <c r="N26" s="11">
        <f>[1]!s_fa_grossprofitmargin(N14,N13)%</f>
        <v>0.14080700000000002</v>
      </c>
      <c r="O26" s="11">
        <f>[1]!s_fa_grossprofitmargin(O14,O13)%</f>
        <v>0.11524</v>
      </c>
      <c r="P26" s="11">
        <f>[1]!s_fa_grossprofitmargin(P14,P13)%</f>
        <v>0.17169399999999999</v>
      </c>
      <c r="Q26" s="11">
        <f>[1]!s_fa_grossprofitmargin(Q14,Q13)%</f>
        <v>0.157585</v>
      </c>
      <c r="R26" s="11">
        <f>[1]!s_fa_grossprofitmargin(R14,R13)%</f>
        <v>0.24167000000000002</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1.1656606360999999</v>
      </c>
      <c r="K27" s="124"/>
      <c r="L27" s="69">
        <f>[1]!b_stm07_is(L14,60,L13,1)/100000000</f>
        <v>11.664812079200001</v>
      </c>
      <c r="M27" s="69">
        <f>[1]!b_stm07_is(M14,60,M13,1)/100000000</f>
        <v>0.34686421249999999</v>
      </c>
      <c r="N27" s="69">
        <f>[1]!b_stm07_is(N14,60,N13,1)/100000000</f>
        <v>7.2778195397000003</v>
      </c>
      <c r="O27" s="69">
        <f>[1]!b_stm07_is(O14,60,O13,1)/100000000</f>
        <v>1.6266281182</v>
      </c>
      <c r="P27" s="69">
        <f>[1]!b_stm07_is(P14,60,P13,1)/100000000</f>
        <v>0.39900776999999998</v>
      </c>
      <c r="Q27" s="69">
        <f>[1]!b_stm07_is(Q14,60,Q13,1)/100000000</f>
        <v>19.657794414200001</v>
      </c>
      <c r="R27" s="69">
        <f>[1]!b_stm07_is(R14,60,R13,1)/100000000</f>
        <v>13.381269330599999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-6.2237000000000001E-2</v>
      </c>
      <c r="K28" s="124"/>
      <c r="L28" s="10">
        <f>[1]!s_fa_roe(L14,L13)%</f>
        <v>3.5980000000000001E-3</v>
      </c>
      <c r="M28" s="10">
        <f>[1]!s_fa_roe(M14,M13)%</f>
        <v>-2.3736999999999998E-2</v>
      </c>
      <c r="N28" s="10">
        <f>[1]!s_fa_roe(N14,N13)%</f>
        <v>-3.6240000000000001E-3</v>
      </c>
      <c r="O28" s="10">
        <f>[1]!s_fa_roe(O14,O13)%</f>
        <v>-5.5087000000000004E-2</v>
      </c>
      <c r="P28" s="10">
        <f>[1]!s_fa_roe(P14,P13)%</f>
        <v>1.3364000000000001E-2</v>
      </c>
      <c r="Q28" s="10">
        <f>[1]!s_fa_roe(Q14,Q13)%</f>
        <v>-0.119932</v>
      </c>
      <c r="R28" s="10">
        <f>[1]!s_fa_roe(R14,R13)%</f>
        <v>5.7419999999999999E-2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57.072626081999999</v>
      </c>
      <c r="K29" s="124"/>
      <c r="L29" s="69">
        <f>[1]!b_stm07_cs(L14,39,L13,1)/100000000</f>
        <v>83.412336296199996</v>
      </c>
      <c r="M29" s="69">
        <f>[1]!b_stm07_cs(M14,39,M13,1)/100000000</f>
        <v>34.865705461600001</v>
      </c>
      <c r="N29" s="69">
        <f>[1]!b_stm07_cs(N14,39,N13,1)/100000000</f>
        <v>58.973768185399997</v>
      </c>
      <c r="O29" s="69">
        <f>[1]!b_stm07_cs(O14,39,O13,1)/100000000</f>
        <v>46.541765145200003</v>
      </c>
      <c r="P29" s="69">
        <f>[1]!b_stm07_cs(P14,39,P13,1)/100000000</f>
        <v>152.5682597103</v>
      </c>
      <c r="Q29" s="69">
        <f>[1]!b_stm07_cs(Q14,39,Q13,1)/100000000</f>
        <v>125.91412250469999</v>
      </c>
      <c r="R29" s="69">
        <f>[1]!b_stm07_cs(R14,39,R13,1)/100000000</f>
        <v>153.2764492151</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45590211557.379997</v>
      </c>
      <c r="K96" s="71"/>
      <c r="L96" s="71">
        <f>[1]!b_stm07_bs(L14,75,L13,1)</f>
        <v>12711030000</v>
      </c>
      <c r="M96" s="71">
        <f>[1]!b_stm07_bs(M14,75,M13,1)</f>
        <v>16070057029.51</v>
      </c>
      <c r="N96" s="71">
        <f>[1]!b_stm07_bs(N14,75,N13,1)</f>
        <v>24170396953.939999</v>
      </c>
      <c r="O96" s="71">
        <f>[1]!b_stm07_bs(O14,75,O13,1)</f>
        <v>33533799923.310001</v>
      </c>
      <c r="P96" s="71">
        <f>[1]!b_stm07_bs(P14,75,P13,1)</f>
        <v>33252797405.82</v>
      </c>
      <c r="Q96" s="71">
        <f>[1]!b_stm07_bs(Q14,75,Q13,1)</f>
        <v>36414170135.730003</v>
      </c>
      <c r="R96" s="71">
        <f>[1]!b_stm07_bs(R14,75,R13,1)</f>
        <v>11155229000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713343261.78999996</v>
      </c>
      <c r="K97" s="71"/>
      <c r="L97" s="71">
        <f>[1]!b_stm07_bs(L14,82,L13,1)</f>
        <v>1487568508.4100001</v>
      </c>
      <c r="M97" s="71">
        <f>[1]!b_stm07_bs(M14,82,M13,1)</f>
        <v>312309594.52999997</v>
      </c>
      <c r="N97" s="71">
        <f>[1]!b_stm07_bs(N14,82,N13,1)</f>
        <v>2025516093.1500001</v>
      </c>
      <c r="O97" s="71">
        <f>[1]!b_stm07_bs(O14,82,O13,1)</f>
        <v>1395126595.1099999</v>
      </c>
      <c r="P97" s="71">
        <f>[1]!b_stm07_bs(P14,82,P13,1)</f>
        <v>393352792.62</v>
      </c>
      <c r="Q97" s="71">
        <f>[1]!b_stm07_bs(Q14,82,Q13,1)</f>
        <v>854603147.38</v>
      </c>
      <c r="R97" s="71">
        <f>[1]!b_stm07_bs(R14,82,R13,1)</f>
        <v>1053676384.23</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16647956011.389999</v>
      </c>
      <c r="K98" s="71"/>
      <c r="L98" s="71">
        <f>[1]!b_stm07_bs(L14,88,L13,1)</f>
        <v>25012034253.759998</v>
      </c>
      <c r="M98" s="71">
        <f>[1]!b_stm07_bs(M14,88,M13,1)</f>
        <v>3337784373.1900001</v>
      </c>
      <c r="N98" s="71">
        <f>[1]!b_stm07_bs(N14,88,N13,1)</f>
        <v>35248119771.07</v>
      </c>
      <c r="O98" s="71">
        <f>[1]!b_stm07_bs(O14,88,O13,1)</f>
        <v>25034022337.439999</v>
      </c>
      <c r="P98" s="71">
        <f>[1]!b_stm07_bs(P14,88,P13,1)</f>
        <v>64582290206.889999</v>
      </c>
      <c r="Q98" s="71">
        <f>[1]!b_stm07_bs(Q14,88,Q13,1)</f>
        <v>15293781906.23</v>
      </c>
      <c r="R98" s="71">
        <f>[1]!b_stm07_bs(R14,88,R13,1)</f>
        <v>21831401722.119999</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36141275163.400002</v>
      </c>
      <c r="K100" s="71"/>
      <c r="L100" s="71">
        <f>[1]!b_stm07_bs(L14,94,L13,1)</f>
        <v>20178069659.48</v>
      </c>
      <c r="M100" s="71">
        <f>[1]!b_stm07_bs(M14,94,M13,1)</f>
        <v>5522695039.8699999</v>
      </c>
      <c r="N100" s="71">
        <f>[1]!b_stm07_bs(N14,94,N13,1)</f>
        <v>32924495092.27</v>
      </c>
      <c r="O100" s="71">
        <f>[1]!b_stm07_bs(O14,94,O13,1)</f>
        <v>27441275423.810001</v>
      </c>
      <c r="P100" s="71">
        <f>[1]!b_stm07_bs(P14,94,P13,1)</f>
        <v>56871826417.510002</v>
      </c>
      <c r="Q100" s="71">
        <f>[1]!b_stm07_bs(Q14,94,Q13,1)</f>
        <v>64442177792.709999</v>
      </c>
      <c r="R100" s="71">
        <f>[1]!b_stm07_bs(R14,94,R13,1)</f>
        <v>31708364124.900002</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25339146158.810001</v>
      </c>
      <c r="K101" s="71"/>
      <c r="L101" s="71">
        <f>[1]!b_stm07_bs(L14,95,L13,1)</f>
        <v>1680000000</v>
      </c>
      <c r="M101" s="71">
        <f>[1]!b_stm07_bs(M14,95,M13,1)</f>
        <v>10509237098.18</v>
      </c>
      <c r="N101" s="71">
        <f>[1]!b_stm07_bs(N14,95,N13,1)</f>
        <v>46115845420.949997</v>
      </c>
      <c r="O101" s="71">
        <f>[1]!b_stm07_bs(O14,95,O13,1)</f>
        <v>19949051406.580002</v>
      </c>
      <c r="P101" s="71">
        <f>[1]!b_stm07_bs(P14,95,P13,1)</f>
        <v>42030000000</v>
      </c>
      <c r="Q101" s="71">
        <f>[1]!b_stm07_bs(Q14,95,Q13,1)</f>
        <v>26012179323.709999</v>
      </c>
      <c r="R101" s="71">
        <f>[1]!b_stm07_bs(R14,95,R13,1)</f>
        <v>7271057591.9300003</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39655622880.190002</v>
      </c>
      <c r="K103" s="71"/>
      <c r="L103" s="71">
        <f>[1]!b_stm07_bs(L14,141,L13,1)</f>
        <v>28390651022.32</v>
      </c>
      <c r="M103" s="71">
        <f>[1]!b_stm07_bs(M14,141,M13,1)</f>
        <v>23246433664.720001</v>
      </c>
      <c r="N103" s="71">
        <f>[1]!b_stm07_bs(N14,141,N13,1)</f>
        <v>55268475901.959999</v>
      </c>
      <c r="O103" s="71">
        <f>[1]!b_stm07_bs(O14,141,O13,1)</f>
        <v>35432749509.970001</v>
      </c>
      <c r="P103" s="71">
        <f>[1]!b_stm07_bs(P14,141,P13,1)</f>
        <v>68298213011.620003</v>
      </c>
      <c r="Q103" s="71">
        <f>[1]!b_stm07_bs(Q14,141,Q13,1)</f>
        <v>76011877316.759995</v>
      </c>
      <c r="R103" s="71">
        <f>[1]!b_stm07_bs(R14,141,R13,1)</f>
        <v>35015257845.029999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d19041503.IB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0.82788300000000004</v>
      </c>
      <c r="C109" s="54" t="s">
        <v>36</v>
      </c>
      <c r="D109" s="72">
        <f>[1]!s_fa_current(A2,B2)</f>
        <v>0.98480000000000001</v>
      </c>
      <c r="E109" s="54" t="s">
        <v>41</v>
      </c>
      <c r="F109" s="73">
        <f>[1]!s_fa_salescashintoor(A2,B2)/100</f>
        <v>1.1277999999999999</v>
      </c>
      <c r="G109" s="54" t="s">
        <v>42</v>
      </c>
      <c r="H109" s="12">
        <f>S109/100</f>
        <v>7.3720999999999995E-2</v>
      </c>
      <c r="I109" s="54"/>
      <c r="J109" s="16"/>
      <c r="K109" s="25"/>
      <c r="L109" s="34" t="s">
        <v>61</v>
      </c>
      <c r="M109" s="74">
        <f>[1]!s_fa_debttoassets(A2,B2)</f>
        <v>82.788300000000007</v>
      </c>
      <c r="N109" s="54" t="s">
        <v>36</v>
      </c>
      <c r="O109" s="35"/>
      <c r="P109" s="54" t="s">
        <v>41</v>
      </c>
      <c r="Q109" s="35"/>
      <c r="R109" s="54" t="s">
        <v>42</v>
      </c>
      <c r="S109" s="75">
        <f>[1]!s_fa_grossprofitmargin(A2,B2)</f>
        <v>7.3720999999999997</v>
      </c>
    </row>
    <row r="110" spans="1:19" ht="15.75" customHeight="1" x14ac:dyDescent="0.25">
      <c r="A110" s="54" t="s">
        <v>62</v>
      </c>
      <c r="B110" s="12">
        <f>M110/100</f>
        <v>0.51739600000000008</v>
      </c>
      <c r="C110" s="54" t="s">
        <v>63</v>
      </c>
      <c r="D110" s="73">
        <f>[1]!s_fa_quick(A2,B2)</f>
        <v>0.90429999999999999</v>
      </c>
      <c r="E110" s="54" t="s">
        <v>64</v>
      </c>
      <c r="F110" s="72">
        <f>[1]!s_fa_arturn(A2,B2)</f>
        <v>8.2574000000000005</v>
      </c>
      <c r="G110" s="54" t="s">
        <v>65</v>
      </c>
      <c r="H110" s="12">
        <f>S110/100</f>
        <v>4.4949999999999999E-3</v>
      </c>
      <c r="I110" s="54"/>
      <c r="J110" s="16"/>
      <c r="L110" s="54" t="s">
        <v>62</v>
      </c>
      <c r="M110" s="74">
        <f>[1]!s_fa_catoassets(A2,B2)</f>
        <v>51.739600000000003</v>
      </c>
      <c r="N110" s="54" t="s">
        <v>63</v>
      </c>
      <c r="O110" s="35"/>
      <c r="P110" s="54" t="s">
        <v>64</v>
      </c>
      <c r="Q110" s="73"/>
      <c r="R110" s="54" t="s">
        <v>65</v>
      </c>
      <c r="S110" s="75">
        <f>[1]!s_fa_optogr(A2,B2)</f>
        <v>0.44950000000000001</v>
      </c>
    </row>
    <row r="111" spans="1:19" ht="15" customHeight="1" x14ac:dyDescent="0.25">
      <c r="A111" s="54" t="s">
        <v>66</v>
      </c>
      <c r="B111" s="12">
        <f>M111/100</f>
        <v>0.63461800000000002</v>
      </c>
      <c r="C111" s="54" t="s">
        <v>39</v>
      </c>
      <c r="D111" s="73">
        <f>[1]!s_fa_ebitdatodebt(A2,B2)</f>
        <v>4.9299999999999997E-2</v>
      </c>
      <c r="E111" s="54" t="s">
        <v>67</v>
      </c>
      <c r="F111" s="72">
        <f>[1]!s_fa_invturn(A2,B2)</f>
        <v>21.545200000000001</v>
      </c>
      <c r="G111" s="54" t="s">
        <v>45</v>
      </c>
      <c r="H111" s="12">
        <f>S111/100</f>
        <v>-6.2237000000000001E-2</v>
      </c>
      <c r="I111" s="54"/>
      <c r="J111" s="16"/>
      <c r="L111" s="54" t="s">
        <v>66</v>
      </c>
      <c r="M111" s="74">
        <f>[1]!s_fa_currentdebttodebt(A2,B2)</f>
        <v>63.461799999999997</v>
      </c>
      <c r="N111" s="54" t="s">
        <v>39</v>
      </c>
      <c r="O111" s="35"/>
      <c r="P111" s="54" t="s">
        <v>67</v>
      </c>
      <c r="Q111" s="35"/>
      <c r="R111" s="54" t="s">
        <v>45</v>
      </c>
      <c r="S111" s="75">
        <f>[1]!s_fa_roe(A2,B2)</f>
        <v>-6.2237</v>
      </c>
    </row>
    <row r="112" spans="1:19" ht="14.25" customHeight="1" x14ac:dyDescent="0.25">
      <c r="A112" s="54" t="s">
        <v>38</v>
      </c>
      <c r="B112" s="76">
        <f>(M116+M117+M118+M119+M120+M121)/M123</f>
        <v>3.1378130795905381</v>
      </c>
      <c r="C112" s="54" t="s">
        <v>68</v>
      </c>
      <c r="D112" s="73">
        <f>[1]!s_fa_ebittointerest(A2,B2)</f>
        <v>1.268</v>
      </c>
      <c r="E112" s="54" t="s">
        <v>69</v>
      </c>
      <c r="F112" s="72">
        <f>[1]!s_fa_caturn(A2,B2)</f>
        <v>1.972</v>
      </c>
      <c r="G112" s="54" t="s">
        <v>70</v>
      </c>
      <c r="H112" s="12">
        <f>S112/100</f>
        <v>3.2617E-2</v>
      </c>
      <c r="I112" s="54"/>
      <c r="J112" s="16"/>
      <c r="L112" s="54" t="s">
        <v>38</v>
      </c>
      <c r="M112" s="77"/>
      <c r="N112" s="54" t="s">
        <v>68</v>
      </c>
      <c r="O112" s="35"/>
      <c r="P112" s="54" t="s">
        <v>69</v>
      </c>
      <c r="Q112" s="35"/>
      <c r="R112" s="54" t="s">
        <v>70</v>
      </c>
      <c r="S112" s="75">
        <f>[1]!s_fa_roa2(A2,B2)</f>
        <v>3.2616999999999998</v>
      </c>
    </row>
    <row r="113" spans="1:21" x14ac:dyDescent="0.25">
      <c r="A113" s="30"/>
      <c r="B113" s="31"/>
      <c r="C113" s="30"/>
      <c r="D113" s="32"/>
      <c r="E113" s="30" t="s">
        <v>71</v>
      </c>
      <c r="F113" s="78">
        <f>[1]!s_fa_dupont_faturnover(A2,B2)</f>
        <v>1.0091000000000001</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45590211557.379997</v>
      </c>
    </row>
    <row r="117" spans="1:21" ht="14.25" customHeight="1" x14ac:dyDescent="0.25">
      <c r="A117" s="54" t="s">
        <v>77</v>
      </c>
      <c r="B117" s="73">
        <f t="shared" ref="B117:B131" si="1">M127/100000000</f>
        <v>321.870089748</v>
      </c>
      <c r="C117" s="54" t="s">
        <v>78</v>
      </c>
      <c r="D117" s="76">
        <f t="shared" ref="D117:D125" si="2">O127/100000000</f>
        <v>2243.0330293618999</v>
      </c>
      <c r="E117" s="131" t="s">
        <v>79</v>
      </c>
      <c r="F117" s="124"/>
      <c r="G117" s="124"/>
      <c r="H117" s="132">
        <f t="shared" ref="H117:H131" si="3">S127/100000000</f>
        <v>2526.2183771728</v>
      </c>
      <c r="I117" s="124"/>
      <c r="J117" s="124"/>
      <c r="L117" s="17" t="s">
        <v>48</v>
      </c>
      <c r="M117" s="71">
        <f>[1]!b_stm07_bs(K107,82,L107,1)</f>
        <v>713343261.78999996</v>
      </c>
    </row>
    <row r="118" spans="1:21" ht="14.25" customHeight="1" x14ac:dyDescent="0.25">
      <c r="A118" s="54" t="s">
        <v>80</v>
      </c>
      <c r="B118" s="73">
        <f t="shared" si="1"/>
        <v>274.37806895490002</v>
      </c>
      <c r="C118" s="54" t="s">
        <v>81</v>
      </c>
      <c r="D118" s="76">
        <f t="shared" si="2"/>
        <v>2241.5854553651002</v>
      </c>
      <c r="E118" s="131" t="s">
        <v>82</v>
      </c>
      <c r="F118" s="124"/>
      <c r="G118" s="124"/>
      <c r="H118" s="132">
        <f t="shared" si="3"/>
        <v>457.24836018489998</v>
      </c>
      <c r="I118" s="124"/>
      <c r="J118" s="124"/>
      <c r="L118" s="17" t="s">
        <v>49</v>
      </c>
      <c r="M118" s="71">
        <f>[1]!b_stm07_bs(K107,88,L107,1)</f>
        <v>16647956011.389999</v>
      </c>
    </row>
    <row r="119" spans="1:21" ht="14.25" customHeight="1" x14ac:dyDescent="0.25">
      <c r="A119" s="54" t="s">
        <v>83</v>
      </c>
      <c r="B119" s="73">
        <f t="shared" si="1"/>
        <v>155.2686621668</v>
      </c>
      <c r="C119" s="54" t="s">
        <v>84</v>
      </c>
      <c r="D119" s="76">
        <f t="shared" si="2"/>
        <v>2074.8748492785999</v>
      </c>
      <c r="E119" s="131" t="s">
        <v>85</v>
      </c>
      <c r="F119" s="124"/>
      <c r="G119" s="124"/>
      <c r="H119" s="133">
        <f t="shared" si="3"/>
        <v>2986.6739135546995</v>
      </c>
      <c r="I119" s="124"/>
      <c r="J119" s="124"/>
      <c r="L119" s="17" t="s">
        <v>50</v>
      </c>
      <c r="M119" s="71">
        <f>[1]!b_stm07_bs(K107,147,L107,1)</f>
        <v>0</v>
      </c>
    </row>
    <row r="120" spans="1:21" ht="14.25" customHeight="1" x14ac:dyDescent="0.25">
      <c r="A120" s="54" t="s">
        <v>86</v>
      </c>
      <c r="B120" s="73">
        <f t="shared" si="1"/>
        <v>443.2579303311</v>
      </c>
      <c r="C120" s="54" t="s">
        <v>87</v>
      </c>
      <c r="D120" s="76">
        <f t="shared" si="2"/>
        <v>25.678664018200003</v>
      </c>
      <c r="E120" s="131" t="s">
        <v>88</v>
      </c>
      <c r="F120" s="124"/>
      <c r="G120" s="124"/>
      <c r="H120" s="132">
        <f t="shared" si="3"/>
        <v>2403.0044994441</v>
      </c>
      <c r="I120" s="124"/>
      <c r="J120" s="124"/>
      <c r="L120" s="17" t="s">
        <v>51</v>
      </c>
      <c r="M120" s="71">
        <f>[1]!b_stm07_bs(K107,94,L107,1)</f>
        <v>36141275163.400002</v>
      </c>
    </row>
    <row r="121" spans="1:21" ht="14.25" customHeight="1" x14ac:dyDescent="0.25">
      <c r="A121" s="54" t="s">
        <v>89</v>
      </c>
      <c r="B121" s="73">
        <f t="shared" si="1"/>
        <v>236.47935838840002</v>
      </c>
      <c r="C121" s="54" t="s">
        <v>90</v>
      </c>
      <c r="D121" s="76">
        <f t="shared" si="2"/>
        <v>55.284385392299995</v>
      </c>
      <c r="E121" s="131" t="s">
        <v>91</v>
      </c>
      <c r="F121" s="124"/>
      <c r="G121" s="124"/>
      <c r="H121" s="132">
        <f t="shared" si="3"/>
        <v>345.29267778550002</v>
      </c>
      <c r="I121" s="124"/>
      <c r="J121" s="124"/>
      <c r="L121" s="17" t="s">
        <v>52</v>
      </c>
      <c r="M121" s="71">
        <f>[1]!b_stm07_bs(K107,95,L107,1)</f>
        <v>25339146158.810001</v>
      </c>
    </row>
    <row r="122" spans="1:21" ht="14.25" customHeight="1" x14ac:dyDescent="0.25">
      <c r="A122" s="54" t="s">
        <v>92</v>
      </c>
      <c r="B122" s="73">
        <f t="shared" si="1"/>
        <v>233.43899245540001</v>
      </c>
      <c r="C122" s="54" t="s">
        <v>93</v>
      </c>
      <c r="D122" s="76">
        <f t="shared" si="2"/>
        <v>60.950924244700005</v>
      </c>
      <c r="E122" s="131" t="s">
        <v>94</v>
      </c>
      <c r="F122" s="124"/>
      <c r="G122" s="124"/>
      <c r="H122" s="133">
        <f t="shared" si="3"/>
        <v>2929.6012874727003</v>
      </c>
      <c r="I122" s="124"/>
      <c r="J122" s="124"/>
      <c r="L122" s="17"/>
      <c r="M122" s="17"/>
    </row>
    <row r="123" spans="1:21" ht="14.25" customHeight="1" x14ac:dyDescent="0.25">
      <c r="A123" s="54" t="s">
        <v>95</v>
      </c>
      <c r="B123" s="79">
        <f t="shared" si="1"/>
        <v>2303.9890316948999</v>
      </c>
      <c r="C123" s="54" t="s">
        <v>96</v>
      </c>
      <c r="D123" s="76">
        <f t="shared" si="2"/>
        <v>10.081624506000001</v>
      </c>
      <c r="E123" s="131" t="s">
        <v>97</v>
      </c>
      <c r="F123" s="124"/>
      <c r="G123" s="124"/>
      <c r="H123" s="133">
        <f t="shared" si="3"/>
        <v>57.072626081999999</v>
      </c>
      <c r="I123" s="124"/>
      <c r="J123" s="124"/>
      <c r="L123" s="17" t="s">
        <v>53</v>
      </c>
      <c r="M123" s="71">
        <f>[1]!b_stm07_bs(K107,141,L107,1)</f>
        <v>39655622880.190002</v>
      </c>
    </row>
    <row r="124" spans="1:21" ht="14.25" customHeight="1" x14ac:dyDescent="0.25">
      <c r="A124" s="54" t="s">
        <v>98</v>
      </c>
      <c r="B124" s="73">
        <f t="shared" si="1"/>
        <v>455.90211557379996</v>
      </c>
      <c r="C124" s="54" t="s">
        <v>99</v>
      </c>
      <c r="D124" s="76">
        <f t="shared" si="2"/>
        <v>15.322582396700001</v>
      </c>
      <c r="E124" s="131" t="s">
        <v>100</v>
      </c>
      <c r="F124" s="124"/>
      <c r="G124" s="124"/>
      <c r="H124" s="133">
        <f t="shared" si="3"/>
        <v>-70.949714315699993</v>
      </c>
      <c r="I124" s="124"/>
      <c r="J124" s="124"/>
      <c r="L124" s="17"/>
      <c r="M124" s="17"/>
    </row>
    <row r="125" spans="1:21" ht="27" customHeight="1" x14ac:dyDescent="0.25">
      <c r="A125" s="54" t="s">
        <v>101</v>
      </c>
      <c r="B125" s="73">
        <f t="shared" si="1"/>
        <v>166.47956011389999</v>
      </c>
      <c r="C125" s="54" t="s">
        <v>43</v>
      </c>
      <c r="D125" s="76">
        <f t="shared" si="2"/>
        <v>1.1656606360999999</v>
      </c>
      <c r="E125" s="131" t="s">
        <v>102</v>
      </c>
      <c r="F125" s="124"/>
      <c r="G125" s="124"/>
      <c r="H125" s="132">
        <f t="shared" si="3"/>
        <v>25.594037</v>
      </c>
      <c r="I125" s="124"/>
      <c r="J125" s="124"/>
      <c r="L125" s="17"/>
      <c r="M125" s="17"/>
    </row>
    <row r="126" spans="1:21" ht="16.5" customHeight="1" x14ac:dyDescent="0.25">
      <c r="A126" s="54" t="s">
        <v>103</v>
      </c>
      <c r="B126" s="73">
        <f t="shared" si="1"/>
        <v>0</v>
      </c>
      <c r="C126" s="54"/>
      <c r="D126" s="80"/>
      <c r="E126" s="131" t="s">
        <v>104</v>
      </c>
      <c r="F126" s="124"/>
      <c r="G126" s="124"/>
      <c r="H126" s="132">
        <f t="shared" si="3"/>
        <v>1013.6847755917</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361.41275163400002</v>
      </c>
      <c r="C127" s="54"/>
      <c r="D127" s="80"/>
      <c r="E127" s="131" t="s">
        <v>106</v>
      </c>
      <c r="F127" s="124"/>
      <c r="G127" s="124"/>
      <c r="H127" s="132">
        <f t="shared" si="3"/>
        <v>39.802900000000001</v>
      </c>
      <c r="I127" s="124"/>
      <c r="J127" s="124"/>
      <c r="L127" s="54" t="s">
        <v>77</v>
      </c>
      <c r="M127" s="75">
        <f>[1]!b_stm07_bs(K107,9,L107,1)</f>
        <v>32187008974.799999</v>
      </c>
      <c r="N127" s="54" t="s">
        <v>78</v>
      </c>
      <c r="O127" s="75">
        <f>[1]!b_stm07_is(K107,83,L107,1)</f>
        <v>224303302936.19</v>
      </c>
      <c r="P127" s="131" t="s">
        <v>79</v>
      </c>
      <c r="Q127" s="124"/>
      <c r="R127" s="124"/>
      <c r="S127" s="136">
        <f>[1]!b_stm07_cs(K107,9,L107,1)</f>
        <v>252621837717.28</v>
      </c>
      <c r="T127" s="135"/>
      <c r="U127" s="135"/>
    </row>
    <row r="128" spans="1:21" ht="14.25" customHeight="1" x14ac:dyDescent="0.25">
      <c r="A128" s="54" t="s">
        <v>107</v>
      </c>
      <c r="B128" s="73">
        <f t="shared" si="1"/>
        <v>253.39146158810001</v>
      </c>
      <c r="C128" s="54"/>
      <c r="D128" s="80"/>
      <c r="E128" s="131" t="s">
        <v>108</v>
      </c>
      <c r="F128" s="124"/>
      <c r="G128" s="124"/>
      <c r="H128" s="133">
        <f t="shared" si="3"/>
        <v>1141.8470204951</v>
      </c>
      <c r="I128" s="124"/>
      <c r="J128" s="124"/>
      <c r="L128" s="54" t="s">
        <v>80</v>
      </c>
      <c r="M128" s="75">
        <f>[1]!b_stm07_bs(K107,12,L107,1)</f>
        <v>27437806895.490002</v>
      </c>
      <c r="N128" s="54" t="s">
        <v>81</v>
      </c>
      <c r="O128" s="75">
        <f>[1]!b_stm07_is(K107,84,L107,1)</f>
        <v>224158545536.51001</v>
      </c>
      <c r="P128" s="131" t="s">
        <v>82</v>
      </c>
      <c r="Q128" s="124"/>
      <c r="R128" s="124"/>
      <c r="S128" s="136">
        <f>[1]!b_stm07_cs(K107,11,L107,1)</f>
        <v>45724836018.489998</v>
      </c>
      <c r="T128" s="135"/>
      <c r="U128" s="135"/>
    </row>
    <row r="129" spans="1:21" ht="14.25" customHeight="1" x14ac:dyDescent="0.25">
      <c r="A129" s="54" t="s">
        <v>109</v>
      </c>
      <c r="B129" s="79">
        <f t="shared" si="1"/>
        <v>1907.4328028929999</v>
      </c>
      <c r="C129" s="14"/>
      <c r="D129" s="13"/>
      <c r="E129" s="131" t="s">
        <v>110</v>
      </c>
      <c r="F129" s="124"/>
      <c r="G129" s="124"/>
      <c r="H129" s="132">
        <f t="shared" si="3"/>
        <v>928.7385500142999</v>
      </c>
      <c r="I129" s="124"/>
      <c r="J129" s="124"/>
      <c r="L129" s="54" t="s">
        <v>83</v>
      </c>
      <c r="M129" s="75">
        <f>[1]!b_stm07_bs(K107,13,L107,1)</f>
        <v>15526866216.68</v>
      </c>
      <c r="N129" s="54" t="s">
        <v>84</v>
      </c>
      <c r="O129" s="75">
        <f>[1]!b_stm07_is(K107,10,L107,1)</f>
        <v>207487484927.85999</v>
      </c>
      <c r="P129" s="131" t="s">
        <v>85</v>
      </c>
      <c r="Q129" s="124"/>
      <c r="R129" s="124"/>
      <c r="S129" s="137">
        <f>[1]!b_stm07_cs(K107,25,L107,1)</f>
        <v>298667391355.46997</v>
      </c>
      <c r="T129" s="135"/>
      <c r="U129" s="135"/>
    </row>
    <row r="130" spans="1:21" ht="14.25" customHeight="1" x14ac:dyDescent="0.25">
      <c r="A130" s="54" t="s">
        <v>111</v>
      </c>
      <c r="B130" s="79">
        <f t="shared" si="1"/>
        <v>396.55622880190003</v>
      </c>
      <c r="C130" s="14"/>
      <c r="D130" s="13"/>
      <c r="E130" s="131" t="s">
        <v>112</v>
      </c>
      <c r="F130" s="124"/>
      <c r="G130" s="124"/>
      <c r="H130" s="132">
        <f t="shared" si="3"/>
        <v>1025.857219518</v>
      </c>
      <c r="I130" s="124"/>
      <c r="J130" s="124"/>
      <c r="L130" s="54" t="s">
        <v>86</v>
      </c>
      <c r="M130" s="75">
        <f>[1]!b_stm07_bs(K107,31,L107,1)</f>
        <v>44325793033.110001</v>
      </c>
      <c r="N130" s="54" t="s">
        <v>87</v>
      </c>
      <c r="O130" s="75">
        <f>[1]!b_stm07_is(K107,12,L107,1)</f>
        <v>2567866401.8200002</v>
      </c>
      <c r="P130" s="131" t="s">
        <v>88</v>
      </c>
      <c r="Q130" s="124"/>
      <c r="R130" s="124"/>
      <c r="S130" s="136">
        <f>[1]!b_stm07_cs(K107,26,L107,1)</f>
        <v>240300449944.41</v>
      </c>
      <c r="T130" s="135"/>
      <c r="U130" s="135"/>
    </row>
    <row r="131" spans="1:21" ht="14.25" customHeight="1" x14ac:dyDescent="0.25">
      <c r="A131" s="15" t="s">
        <v>113</v>
      </c>
      <c r="B131" s="79">
        <f t="shared" si="1"/>
        <v>2303.9890316948999</v>
      </c>
      <c r="C131" s="14"/>
      <c r="D131" s="13"/>
      <c r="E131" s="131" t="s">
        <v>114</v>
      </c>
      <c r="F131" s="124"/>
      <c r="G131" s="124"/>
      <c r="H131" s="133">
        <f t="shared" si="3"/>
        <v>115.98980097709999</v>
      </c>
      <c r="I131" s="124"/>
      <c r="J131" s="124"/>
      <c r="L131" s="54" t="s">
        <v>89</v>
      </c>
      <c r="M131" s="75">
        <f>[1]!b_stm07_bs(K107,33,L107,1)</f>
        <v>23647935838.84</v>
      </c>
      <c r="N131" s="54" t="s">
        <v>90</v>
      </c>
      <c r="O131" s="75">
        <f>[1]!b_stm07_is(K107,13,L107,1)</f>
        <v>5528438539.2299995</v>
      </c>
      <c r="P131" s="131" t="s">
        <v>91</v>
      </c>
      <c r="Q131" s="124"/>
      <c r="R131" s="124"/>
      <c r="S131" s="136">
        <f>[1]!b_stm07_cs(K107,29,L107,1)</f>
        <v>34529267778.550003</v>
      </c>
      <c r="T131" s="135"/>
      <c r="U131" s="135"/>
    </row>
    <row r="132" spans="1:21" x14ac:dyDescent="0.25">
      <c r="L132" s="54" t="s">
        <v>92</v>
      </c>
      <c r="M132" s="75">
        <f>[1]!b_stm07_bs(K107,37,L107,1)</f>
        <v>23343899245.540001</v>
      </c>
      <c r="N132" s="54" t="s">
        <v>93</v>
      </c>
      <c r="O132" s="75">
        <f>[1]!b_stm07_is(K107,14,L107,1)</f>
        <v>6095092424.4700003</v>
      </c>
      <c r="P132" s="131" t="s">
        <v>94</v>
      </c>
      <c r="Q132" s="124"/>
      <c r="R132" s="124"/>
      <c r="S132" s="137">
        <f>[1]!b_stm07_cs(K107,37,L107,1)</f>
        <v>292960128747.27002</v>
      </c>
      <c r="T132" s="135"/>
      <c r="U132" s="135"/>
    </row>
    <row r="133" spans="1:21" x14ac:dyDescent="0.25">
      <c r="L133" s="54" t="s">
        <v>95</v>
      </c>
      <c r="M133" s="81">
        <f>[1]!b_stm07_bs(K107,74,L107,1)</f>
        <v>230398903169.48999</v>
      </c>
      <c r="N133" s="54" t="s">
        <v>96</v>
      </c>
      <c r="O133" s="75">
        <f>[1]!b_stm07_is(K107,48,L107,1)</f>
        <v>1008162450.6</v>
      </c>
      <c r="P133" s="131" t="s">
        <v>97</v>
      </c>
      <c r="Q133" s="124"/>
      <c r="R133" s="124"/>
      <c r="S133" s="137">
        <f>[1]!b_stm07_cs(K107,39,L107,1)</f>
        <v>5707262608.1999998</v>
      </c>
      <c r="T133" s="135"/>
      <c r="U133" s="135"/>
    </row>
    <row r="134" spans="1:21" x14ac:dyDescent="0.25">
      <c r="L134" s="54" t="s">
        <v>98</v>
      </c>
      <c r="M134" s="75">
        <f>[1]!b_stm07_bs(K107,75,L107,1)</f>
        <v>45590211557.379997</v>
      </c>
      <c r="N134" s="54" t="s">
        <v>99</v>
      </c>
      <c r="O134" s="75">
        <f>[1]!b_stm07_is(K107,55,L107,1)</f>
        <v>1532258239.6700001</v>
      </c>
      <c r="P134" s="131" t="s">
        <v>100</v>
      </c>
      <c r="Q134" s="124"/>
      <c r="R134" s="124"/>
      <c r="S134" s="137">
        <f>[1]!b_stm07_cs(K107,59,L107,1)</f>
        <v>-7094971431.5699997</v>
      </c>
      <c r="T134" s="135"/>
      <c r="U134" s="135"/>
    </row>
    <row r="135" spans="1:21" ht="32.4" customHeight="1" x14ac:dyDescent="0.25">
      <c r="L135" s="54" t="s">
        <v>101</v>
      </c>
      <c r="M135" s="75">
        <f>[1]!b_stm07_bs(K107,88,L107,1)</f>
        <v>16647956011.389999</v>
      </c>
      <c r="N135" s="54" t="s">
        <v>43</v>
      </c>
      <c r="O135" s="75">
        <f>[1]!b_stm07_is(K107,60,L107,1)</f>
        <v>116566063.61</v>
      </c>
      <c r="P135" s="131" t="s">
        <v>102</v>
      </c>
      <c r="Q135" s="124"/>
      <c r="R135" s="124"/>
      <c r="S135" s="136">
        <f>[1]!b_stm07_cs(K107,60,L107,1)</f>
        <v>2559403700</v>
      </c>
      <c r="T135" s="135"/>
      <c r="U135" s="135"/>
    </row>
    <row r="136" spans="1:21" ht="21.6" customHeight="1" x14ac:dyDescent="0.25">
      <c r="L136" s="54" t="s">
        <v>103</v>
      </c>
      <c r="M136" s="75">
        <f>[1]!b_stm07_bs(K107,147,L107,1)</f>
        <v>0</v>
      </c>
      <c r="N136" s="54"/>
      <c r="O136" s="80"/>
      <c r="P136" s="131" t="s">
        <v>104</v>
      </c>
      <c r="Q136" s="124"/>
      <c r="R136" s="124"/>
      <c r="S136" s="136">
        <f>[1]!b_stm07_cs(K107,61,L107,1)</f>
        <v>101368477559.17</v>
      </c>
      <c r="T136" s="135"/>
      <c r="U136" s="135"/>
    </row>
    <row r="137" spans="1:21" x14ac:dyDescent="0.25">
      <c r="L137" s="54" t="s">
        <v>105</v>
      </c>
      <c r="M137" s="75">
        <f>[1]!b_stm07_bs(K107,94,L107,1)</f>
        <v>36141275163.400002</v>
      </c>
      <c r="N137" s="54"/>
      <c r="O137" s="80"/>
      <c r="P137" s="131" t="s">
        <v>106</v>
      </c>
      <c r="Q137" s="124"/>
      <c r="R137" s="124"/>
      <c r="S137" s="136">
        <f>[1]!b_stm07_cs(K107,63,L107,1)</f>
        <v>3980290000</v>
      </c>
      <c r="T137" s="135"/>
      <c r="U137" s="135"/>
    </row>
    <row r="138" spans="1:21" x14ac:dyDescent="0.25">
      <c r="L138" s="54" t="s">
        <v>107</v>
      </c>
      <c r="M138" s="75">
        <f>[1]!b_stm07_bs(K107,95,L107,1)</f>
        <v>25339146158.810001</v>
      </c>
      <c r="N138" s="54"/>
      <c r="O138" s="80"/>
      <c r="P138" s="131" t="s">
        <v>108</v>
      </c>
      <c r="Q138" s="124"/>
      <c r="R138" s="124"/>
      <c r="S138" s="137">
        <f>[1]!b_stm07_cs(K107,68,L107,1)</f>
        <v>114184702049.50999</v>
      </c>
      <c r="T138" s="135"/>
      <c r="U138" s="135"/>
    </row>
    <row r="139" spans="1:21" x14ac:dyDescent="0.25">
      <c r="L139" s="54" t="s">
        <v>109</v>
      </c>
      <c r="M139" s="81">
        <f>[1]!b_stm07_bs(K107,128,L107,1)</f>
        <v>190743280289.29999</v>
      </c>
      <c r="N139" s="14"/>
      <c r="O139" s="13"/>
      <c r="P139" s="131" t="s">
        <v>110</v>
      </c>
      <c r="Q139" s="124"/>
      <c r="R139" s="124"/>
      <c r="S139" s="136">
        <f>[1]!b_stm07_cs(K107,69,L107,1)</f>
        <v>92873855001.429993</v>
      </c>
      <c r="T139" s="135"/>
      <c r="U139" s="135"/>
    </row>
    <row r="140" spans="1:21" ht="21.6" customHeight="1" x14ac:dyDescent="0.25">
      <c r="L140" s="54" t="s">
        <v>111</v>
      </c>
      <c r="M140" s="81">
        <f>[1]!b_stm07_bs(K107,141,L107,1)</f>
        <v>39655622880.190002</v>
      </c>
      <c r="N140" s="14"/>
      <c r="O140" s="13"/>
      <c r="P140" s="131" t="s">
        <v>112</v>
      </c>
      <c r="Q140" s="124"/>
      <c r="R140" s="124"/>
      <c r="S140" s="136">
        <f>[1]!b_stm07_cs(K107,75,L107,1)</f>
        <v>102585721951.8</v>
      </c>
      <c r="T140" s="135"/>
      <c r="U140" s="135"/>
    </row>
    <row r="141" spans="1:21" ht="21.6" customHeight="1" x14ac:dyDescent="0.25">
      <c r="L141" s="15" t="s">
        <v>113</v>
      </c>
      <c r="M141" s="81">
        <f>[1]!b_stm07_bs(K107,145,L107,1)</f>
        <v>230398903169.48999</v>
      </c>
      <c r="N141" s="14"/>
      <c r="O141" s="13"/>
      <c r="P141" s="131" t="s">
        <v>114</v>
      </c>
      <c r="Q141" s="124"/>
      <c r="R141" s="124"/>
      <c r="S141" s="137">
        <f>[1]!b_stm07_cs(K107,77,L107,1)</f>
        <v>11598980097.709999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674</v>
      </c>
      <c r="C2" s="120"/>
      <c r="D2" s="57" t="s">
        <v>3</v>
      </c>
      <c r="E2" s="119" t="s">
        <v>675</v>
      </c>
      <c r="F2" s="120"/>
      <c r="G2" s="120"/>
    </row>
    <row r="3" spans="1:12" ht="14.25" customHeight="1" x14ac:dyDescent="0.25">
      <c r="A3" s="57" t="s">
        <v>4</v>
      </c>
      <c r="B3" s="119" t="s">
        <v>676</v>
      </c>
      <c r="C3" s="120"/>
      <c r="D3" s="57" t="s">
        <v>5</v>
      </c>
      <c r="E3" s="119" t="s">
        <v>677</v>
      </c>
      <c r="F3" s="120"/>
      <c r="G3" s="120"/>
    </row>
    <row r="4" spans="1:12" ht="113.25" customHeight="1" x14ac:dyDescent="0.25">
      <c r="A4" s="57" t="s">
        <v>6</v>
      </c>
      <c r="B4" s="121" t="s">
        <v>678</v>
      </c>
      <c r="C4" s="120"/>
      <c r="D4" s="120"/>
      <c r="E4" s="120"/>
      <c r="F4" s="120"/>
      <c r="G4" s="120"/>
    </row>
    <row r="5" spans="1:12" ht="14.4" x14ac:dyDescent="0.25">
      <c r="A5" s="82" t="s">
        <v>115</v>
      </c>
      <c r="B5" s="140" t="s">
        <v>679</v>
      </c>
      <c r="C5" s="120"/>
      <c r="D5" s="120"/>
      <c r="E5" s="120"/>
      <c r="F5" s="141">
        <v>1</v>
      </c>
      <c r="G5" s="120"/>
    </row>
    <row r="6" spans="1:12" ht="11.25" customHeight="1" x14ac:dyDescent="0.25">
      <c r="A6" s="82" t="s">
        <v>116</v>
      </c>
      <c r="B6" s="140" t="s">
        <v>680</v>
      </c>
      <c r="C6" s="120"/>
      <c r="D6" s="120"/>
      <c r="E6" s="120"/>
      <c r="F6" s="141" t="s">
        <v>680</v>
      </c>
      <c r="G6" s="120"/>
    </row>
    <row r="7" spans="1:12" ht="11.25" customHeight="1" x14ac:dyDescent="0.25">
      <c r="A7" s="82" t="s">
        <v>117</v>
      </c>
      <c r="B7" s="140" t="s">
        <v>680</v>
      </c>
      <c r="C7" s="120"/>
      <c r="D7" s="120"/>
      <c r="E7" s="120"/>
      <c r="F7" s="141" t="s">
        <v>680</v>
      </c>
      <c r="G7" s="120"/>
    </row>
    <row r="8" spans="1:12" ht="11.25" customHeight="1" x14ac:dyDescent="0.25">
      <c r="A8" s="82" t="s">
        <v>118</v>
      </c>
      <c r="B8" s="140" t="s">
        <v>680</v>
      </c>
      <c r="C8" s="120"/>
      <c r="D8" s="120"/>
      <c r="E8" s="120"/>
      <c r="F8" s="141" t="s">
        <v>680</v>
      </c>
      <c r="G8" s="120"/>
    </row>
    <row r="9" spans="1:12" ht="11.25" customHeight="1" x14ac:dyDescent="0.25">
      <c r="A9" s="82" t="s">
        <v>119</v>
      </c>
      <c r="B9" s="140" t="s">
        <v>680</v>
      </c>
      <c r="C9" s="120"/>
      <c r="D9" s="120"/>
      <c r="E9" s="120"/>
      <c r="F9" s="141" t="s">
        <v>680</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3.87</v>
      </c>
      <c r="E13" s="64">
        <v>0.70684931506849313</v>
      </c>
      <c r="F13" s="65">
        <v>0</v>
      </c>
      <c r="G13" s="64">
        <v>15</v>
      </c>
    </row>
    <row r="14" spans="1:12" ht="14.4" customHeight="1" x14ac:dyDescent="0.25">
      <c r="A14" t="s">
        <v>124</v>
      </c>
      <c r="B14" t="s">
        <v>125</v>
      </c>
      <c r="C14" t="s">
        <v>126</v>
      </c>
      <c r="D14" s="64">
        <v>4.34</v>
      </c>
      <c r="E14" s="83">
        <v>0.68767123287671228</v>
      </c>
      <c r="F14">
        <v>0</v>
      </c>
      <c r="G14" s="64">
        <v>5</v>
      </c>
    </row>
    <row r="15" spans="1:12" ht="14.4" customHeight="1" x14ac:dyDescent="0.25">
      <c r="A15" t="s">
        <v>127</v>
      </c>
      <c r="B15" t="s">
        <v>128</v>
      </c>
      <c r="C15" t="s">
        <v>129</v>
      </c>
      <c r="D15" s="64">
        <v>7.18</v>
      </c>
      <c r="E15" s="83">
        <v>3.9071038251366121</v>
      </c>
      <c r="F15" t="s">
        <v>25</v>
      </c>
      <c r="G15" s="64">
        <v>10</v>
      </c>
    </row>
    <row r="16" spans="1:12" ht="14.4" customHeight="1" x14ac:dyDescent="0.25">
      <c r="A16" t="s">
        <v>130</v>
      </c>
      <c r="B16" t="s">
        <v>131</v>
      </c>
      <c r="C16" t="s">
        <v>132</v>
      </c>
      <c r="D16" s="64">
        <v>4.33</v>
      </c>
      <c r="E16" s="83">
        <v>0.64109589041095894</v>
      </c>
      <c r="F16">
        <v>0</v>
      </c>
      <c r="G16" s="64">
        <v>3</v>
      </c>
    </row>
    <row r="17" spans="1:7" ht="14.4" customHeight="1" x14ac:dyDescent="0.25">
      <c r="A17" t="s">
        <v>133</v>
      </c>
      <c r="B17" t="s">
        <v>134</v>
      </c>
      <c r="C17" t="s">
        <v>135</v>
      </c>
      <c r="D17" s="64">
        <v>3.85</v>
      </c>
      <c r="E17" s="83">
        <v>0.63013698630136983</v>
      </c>
      <c r="F17">
        <v>0</v>
      </c>
      <c r="G17" s="64">
        <v>15</v>
      </c>
    </row>
    <row r="18" spans="1:7" ht="14.4" customHeight="1" x14ac:dyDescent="0.25">
      <c r="A18" t="s">
        <v>136</v>
      </c>
      <c r="B18" t="s">
        <v>137</v>
      </c>
      <c r="C18" t="s">
        <v>138</v>
      </c>
      <c r="D18" s="64">
        <v>5</v>
      </c>
      <c r="E18" s="83">
        <v>1.8852459016393444</v>
      </c>
      <c r="F18">
        <v>0</v>
      </c>
      <c r="G18" s="64">
        <v>5</v>
      </c>
    </row>
    <row r="19" spans="1:7" ht="14.4" customHeight="1" x14ac:dyDescent="0.25">
      <c r="A19" t="s">
        <v>139</v>
      </c>
      <c r="B19" t="s">
        <v>140</v>
      </c>
      <c r="C19" t="s">
        <v>141</v>
      </c>
      <c r="D19" s="64">
        <v>3.67</v>
      </c>
      <c r="E19" s="83">
        <v>0.88251366120218577</v>
      </c>
      <c r="F19" t="s">
        <v>681</v>
      </c>
      <c r="G19" s="64">
        <v>20</v>
      </c>
    </row>
    <row r="20" spans="1:7" ht="14.4" customHeight="1" x14ac:dyDescent="0.25">
      <c r="A20" t="s">
        <v>142</v>
      </c>
      <c r="B20" t="s">
        <v>143</v>
      </c>
      <c r="C20" t="s">
        <v>144</v>
      </c>
      <c r="D20" s="64">
        <v>4.3499999999999996</v>
      </c>
      <c r="E20" s="83">
        <v>0.87123287671232874</v>
      </c>
      <c r="F20" t="s">
        <v>681</v>
      </c>
      <c r="G20" s="64">
        <v>3</v>
      </c>
    </row>
    <row r="21" spans="1:7" ht="14.4" customHeight="1" x14ac:dyDescent="0.25">
      <c r="A21" t="s">
        <v>145</v>
      </c>
      <c r="B21" t="s">
        <v>146</v>
      </c>
      <c r="C21" t="s">
        <v>147</v>
      </c>
      <c r="D21" s="64">
        <v>4.0999999999999996</v>
      </c>
      <c r="E21" s="83">
        <v>0.60821917808219184</v>
      </c>
      <c r="F21">
        <v>0</v>
      </c>
      <c r="G21" s="64">
        <v>5</v>
      </c>
    </row>
    <row r="22" spans="1:7" ht="14.4" customHeight="1" x14ac:dyDescent="0.25">
      <c r="A22" t="s">
        <v>148</v>
      </c>
      <c r="B22" t="s">
        <v>149</v>
      </c>
      <c r="C22" t="s">
        <v>150</v>
      </c>
      <c r="D22" s="64">
        <v>3.42</v>
      </c>
      <c r="E22" s="83">
        <v>0.59452054794520548</v>
      </c>
      <c r="F22">
        <v>0</v>
      </c>
      <c r="G22" s="64">
        <v>15</v>
      </c>
    </row>
    <row r="23" spans="1:7" ht="14.4" customHeight="1" x14ac:dyDescent="0.25">
      <c r="A23" t="s">
        <v>151</v>
      </c>
      <c r="B23" t="s">
        <v>152</v>
      </c>
      <c r="C23" t="s">
        <v>153</v>
      </c>
      <c r="D23" s="64">
        <v>5</v>
      </c>
      <c r="E23" s="83">
        <v>1.8493150684931505</v>
      </c>
      <c r="F23" t="s">
        <v>25</v>
      </c>
      <c r="G23" s="64">
        <v>5</v>
      </c>
    </row>
    <row r="24" spans="1:7" ht="14.4" customHeight="1" x14ac:dyDescent="0.25">
      <c r="A24" t="s">
        <v>154</v>
      </c>
      <c r="B24" t="s">
        <v>155</v>
      </c>
      <c r="C24" t="s">
        <v>156</v>
      </c>
      <c r="D24" s="64">
        <v>3.55</v>
      </c>
      <c r="E24" s="83">
        <v>0.84383561643835614</v>
      </c>
      <c r="F24" t="s">
        <v>681</v>
      </c>
      <c r="G24" s="64">
        <v>20</v>
      </c>
    </row>
    <row r="25" spans="1:7" ht="14.4" customHeight="1" x14ac:dyDescent="0.25">
      <c r="A25" t="s">
        <v>157</v>
      </c>
      <c r="B25" t="s">
        <v>158</v>
      </c>
      <c r="C25" t="s">
        <v>159</v>
      </c>
      <c r="D25" s="64">
        <v>4.5</v>
      </c>
      <c r="E25" s="83">
        <v>0.51506849315068493</v>
      </c>
      <c r="F25">
        <v>0</v>
      </c>
      <c r="G25" s="64">
        <v>4</v>
      </c>
    </row>
    <row r="26" spans="1:7" ht="14.4" customHeight="1" x14ac:dyDescent="0.25">
      <c r="A26" t="s">
        <v>160</v>
      </c>
      <c r="B26" t="s">
        <v>161</v>
      </c>
      <c r="C26" t="s">
        <v>162</v>
      </c>
      <c r="D26" s="64">
        <v>3.88</v>
      </c>
      <c r="E26" s="83">
        <v>0.76986301369863008</v>
      </c>
      <c r="F26" t="s">
        <v>681</v>
      </c>
      <c r="G26" s="64">
        <v>15</v>
      </c>
    </row>
    <row r="27" spans="1:7" ht="14.4" customHeight="1" x14ac:dyDescent="0.25">
      <c r="A27" t="s">
        <v>163</v>
      </c>
      <c r="B27" t="s">
        <v>164</v>
      </c>
      <c r="C27" t="s">
        <v>165</v>
      </c>
      <c r="D27" s="64">
        <v>3.8</v>
      </c>
      <c r="E27" s="83">
        <v>0.49589041095890413</v>
      </c>
      <c r="F27">
        <v>0</v>
      </c>
      <c r="G27" s="64">
        <v>15</v>
      </c>
    </row>
    <row r="28" spans="1:7" ht="14.4" customHeight="1" x14ac:dyDescent="0.25">
      <c r="A28" t="s">
        <v>166</v>
      </c>
      <c r="B28" t="s">
        <v>167</v>
      </c>
      <c r="C28" t="s">
        <v>168</v>
      </c>
      <c r="D28" s="64">
        <v>4.87</v>
      </c>
      <c r="E28" s="83">
        <v>0.40273972602739727</v>
      </c>
      <c r="F28">
        <v>0</v>
      </c>
      <c r="G28" s="64">
        <v>3</v>
      </c>
    </row>
    <row r="29" spans="1:7" ht="14.4" customHeight="1" x14ac:dyDescent="0.25">
      <c r="A29" t="s">
        <v>169</v>
      </c>
      <c r="B29" t="s">
        <v>170</v>
      </c>
      <c r="C29" t="s">
        <v>171</v>
      </c>
      <c r="D29" s="64">
        <v>3.75</v>
      </c>
      <c r="E29" s="83">
        <v>0.73698630136986298</v>
      </c>
      <c r="F29" t="s">
        <v>681</v>
      </c>
      <c r="G29" s="64">
        <v>10</v>
      </c>
    </row>
    <row r="30" spans="1:7" ht="14.4" customHeight="1" x14ac:dyDescent="0.25">
      <c r="A30" t="s">
        <v>172</v>
      </c>
      <c r="B30" t="s">
        <v>173</v>
      </c>
      <c r="C30" t="s">
        <v>174</v>
      </c>
      <c r="D30" s="64">
        <v>4.6900000000000004</v>
      </c>
      <c r="E30" s="83">
        <v>0</v>
      </c>
      <c r="F30">
        <v>0</v>
      </c>
      <c r="G30" s="64">
        <v>10</v>
      </c>
    </row>
    <row r="31" spans="1:7" ht="14.4" customHeight="1" x14ac:dyDescent="0.25">
      <c r="A31" t="s">
        <v>175</v>
      </c>
      <c r="B31" t="s">
        <v>176</v>
      </c>
      <c r="C31" t="s">
        <v>177</v>
      </c>
      <c r="D31" s="64">
        <v>4.38</v>
      </c>
      <c r="E31" s="83">
        <v>0.42191780821917807</v>
      </c>
      <c r="F31">
        <v>0</v>
      </c>
      <c r="G31" s="64">
        <v>15</v>
      </c>
    </row>
    <row r="32" spans="1:7" ht="14.4" customHeight="1" x14ac:dyDescent="0.25">
      <c r="A32" t="s">
        <v>178</v>
      </c>
      <c r="B32" t="s">
        <v>179</v>
      </c>
      <c r="C32" t="s">
        <v>180</v>
      </c>
      <c r="D32" s="64">
        <v>4.24</v>
      </c>
      <c r="E32" s="83">
        <v>0.41369863013698632</v>
      </c>
      <c r="F32">
        <v>0</v>
      </c>
      <c r="G32" s="64">
        <v>10</v>
      </c>
    </row>
    <row r="33" spans="1:7" ht="14.4" customHeight="1" x14ac:dyDescent="0.25">
      <c r="A33" t="s">
        <v>181</v>
      </c>
      <c r="B33" t="s">
        <v>182</v>
      </c>
      <c r="C33" t="s">
        <v>183</v>
      </c>
      <c r="D33" s="64">
        <v>3.98</v>
      </c>
      <c r="E33" s="83">
        <v>0.39178082191780822</v>
      </c>
      <c r="F33">
        <v>0</v>
      </c>
      <c r="G33" s="64">
        <v>10</v>
      </c>
    </row>
    <row r="34" spans="1:7" ht="14.4" customHeight="1" x14ac:dyDescent="0.25">
      <c r="A34" t="s">
        <v>184</v>
      </c>
      <c r="B34" t="s">
        <v>185</v>
      </c>
      <c r="C34" t="s">
        <v>186</v>
      </c>
      <c r="D34" s="64">
        <v>6</v>
      </c>
      <c r="E34" s="83">
        <v>1.6356164383561644</v>
      </c>
      <c r="F34" t="s">
        <v>25</v>
      </c>
      <c r="G34" s="64">
        <v>3</v>
      </c>
    </row>
    <row r="35" spans="1:7" ht="14.4" customHeight="1" x14ac:dyDescent="0.25">
      <c r="A35" t="s">
        <v>187</v>
      </c>
      <c r="B35" t="s">
        <v>185</v>
      </c>
      <c r="C35" t="s">
        <v>188</v>
      </c>
      <c r="D35" s="64">
        <v>5.2</v>
      </c>
      <c r="E35" s="83">
        <v>0.37534246575342467</v>
      </c>
      <c r="F35">
        <v>0</v>
      </c>
      <c r="G35" s="64">
        <v>4</v>
      </c>
    </row>
    <row r="36" spans="1:7" ht="14.4" customHeight="1" x14ac:dyDescent="0.25">
      <c r="A36" t="s">
        <v>189</v>
      </c>
      <c r="B36" t="s">
        <v>190</v>
      </c>
      <c r="C36" t="s">
        <v>191</v>
      </c>
      <c r="D36" s="64">
        <v>6.8</v>
      </c>
      <c r="E36" s="83">
        <v>2.6219178082191781</v>
      </c>
      <c r="F36" t="s">
        <v>25</v>
      </c>
      <c r="G36" s="64">
        <v>5</v>
      </c>
    </row>
    <row r="37" spans="1:7" ht="14.4" customHeight="1" x14ac:dyDescent="0.25">
      <c r="A37" t="s">
        <v>192</v>
      </c>
      <c r="B37" t="s">
        <v>193</v>
      </c>
      <c r="C37" t="s">
        <v>194</v>
      </c>
      <c r="D37" s="64">
        <v>5</v>
      </c>
      <c r="E37" s="83">
        <v>0.61369863013698633</v>
      </c>
      <c r="F37">
        <v>0</v>
      </c>
      <c r="G37" s="64">
        <v>9</v>
      </c>
    </row>
    <row r="38" spans="1:7" ht="14.4" customHeight="1" x14ac:dyDescent="0.25">
      <c r="A38" t="s">
        <v>195</v>
      </c>
      <c r="B38" t="s">
        <v>193</v>
      </c>
      <c r="C38" t="s">
        <v>196</v>
      </c>
      <c r="D38" s="64">
        <v>4</v>
      </c>
      <c r="E38" s="83">
        <v>0.34520547945205482</v>
      </c>
      <c r="F38">
        <v>0</v>
      </c>
      <c r="G38" s="64">
        <v>15</v>
      </c>
    </row>
    <row r="39" spans="1:7" ht="14.4" customHeight="1" x14ac:dyDescent="0.25">
      <c r="A39" t="s">
        <v>197</v>
      </c>
      <c r="B39" t="s">
        <v>198</v>
      </c>
      <c r="C39" t="s">
        <v>199</v>
      </c>
      <c r="D39" s="64">
        <v>5.4</v>
      </c>
      <c r="E39" s="83">
        <v>2.580821917808219</v>
      </c>
      <c r="F39" t="s">
        <v>25</v>
      </c>
      <c r="G39" s="64">
        <v>17</v>
      </c>
    </row>
    <row r="40" spans="1:7" ht="14.4" customHeight="1" x14ac:dyDescent="0.25">
      <c r="A40" t="s">
        <v>200</v>
      </c>
      <c r="B40" t="s">
        <v>201</v>
      </c>
      <c r="C40" t="s">
        <v>202</v>
      </c>
      <c r="D40" s="64">
        <v>5.38</v>
      </c>
      <c r="E40" s="83">
        <v>2.5397260273972604</v>
      </c>
      <c r="F40" t="s">
        <v>25</v>
      </c>
      <c r="G40" s="64">
        <v>15</v>
      </c>
    </row>
    <row r="41" spans="1:7" ht="14.4" customHeight="1" x14ac:dyDescent="0.25">
      <c r="A41" t="s">
        <v>203</v>
      </c>
      <c r="B41" t="s">
        <v>204</v>
      </c>
      <c r="C41" t="s">
        <v>205</v>
      </c>
      <c r="D41" s="64">
        <v>4.83</v>
      </c>
      <c r="E41" s="83">
        <v>0.26575342465753427</v>
      </c>
      <c r="F41">
        <v>0</v>
      </c>
      <c r="G41" s="64">
        <v>5</v>
      </c>
    </row>
    <row r="42" spans="1:7" ht="14.4" customHeight="1" x14ac:dyDescent="0.25">
      <c r="A42" t="s">
        <v>206</v>
      </c>
      <c r="B42" t="s">
        <v>207</v>
      </c>
      <c r="C42" t="s">
        <v>208</v>
      </c>
      <c r="D42" s="64">
        <v>4.33</v>
      </c>
      <c r="E42" s="83">
        <v>0.26027397260273971</v>
      </c>
      <c r="F42">
        <v>0</v>
      </c>
      <c r="G42" s="64">
        <v>10</v>
      </c>
    </row>
    <row r="43" spans="1:7" ht="14.4" customHeight="1" x14ac:dyDescent="0.25">
      <c r="A43" t="s">
        <v>209</v>
      </c>
      <c r="B43" t="s">
        <v>210</v>
      </c>
      <c r="C43" t="s">
        <v>211</v>
      </c>
      <c r="D43" s="64">
        <v>6.2</v>
      </c>
      <c r="E43" s="83">
        <v>1.504109589041096</v>
      </c>
      <c r="F43" t="s">
        <v>25</v>
      </c>
      <c r="G43" s="64">
        <v>3</v>
      </c>
    </row>
    <row r="44" spans="1:7" ht="14.4" customHeight="1" x14ac:dyDescent="0.25">
      <c r="A44" t="s">
        <v>212</v>
      </c>
      <c r="B44" t="s">
        <v>210</v>
      </c>
      <c r="C44" t="s">
        <v>213</v>
      </c>
      <c r="D44" s="64">
        <v>4.1399999999999997</v>
      </c>
      <c r="E44" s="83">
        <v>0.24383561643835616</v>
      </c>
      <c r="F44">
        <v>0</v>
      </c>
      <c r="G44" s="64">
        <v>15</v>
      </c>
    </row>
    <row r="45" spans="1:7" ht="14.4" customHeight="1" x14ac:dyDescent="0.25">
      <c r="A45" t="s">
        <v>214</v>
      </c>
      <c r="B45" t="s">
        <v>215</v>
      </c>
      <c r="C45" t="s">
        <v>216</v>
      </c>
      <c r="D45" s="64">
        <v>4.83</v>
      </c>
      <c r="E45" s="83">
        <v>0.22465753424657534</v>
      </c>
      <c r="F45">
        <v>0</v>
      </c>
      <c r="G45" s="64">
        <v>5</v>
      </c>
    </row>
    <row r="46" spans="1:7" ht="14.4" customHeight="1" x14ac:dyDescent="0.25">
      <c r="A46" t="s">
        <v>217</v>
      </c>
      <c r="B46" t="s">
        <v>218</v>
      </c>
      <c r="C46" t="s">
        <v>219</v>
      </c>
      <c r="D46" s="64">
        <v>4.88</v>
      </c>
      <c r="E46" s="83">
        <v>0</v>
      </c>
      <c r="F46">
        <v>0</v>
      </c>
      <c r="G46" s="64">
        <v>5</v>
      </c>
    </row>
    <row r="47" spans="1:7" ht="14.4" customHeight="1" x14ac:dyDescent="0.25">
      <c r="A47" t="s">
        <v>220</v>
      </c>
      <c r="B47" t="s">
        <v>221</v>
      </c>
      <c r="C47" t="s">
        <v>222</v>
      </c>
      <c r="D47" s="64">
        <v>6</v>
      </c>
      <c r="E47" s="83">
        <v>0.44383561643835617</v>
      </c>
      <c r="F47">
        <v>0</v>
      </c>
      <c r="G47" s="64">
        <v>4</v>
      </c>
    </row>
    <row r="48" spans="1:7" ht="14.4" customHeight="1" x14ac:dyDescent="0.25">
      <c r="A48" t="s">
        <v>223</v>
      </c>
      <c r="B48" t="s">
        <v>224</v>
      </c>
      <c r="C48" t="s">
        <v>225</v>
      </c>
      <c r="D48" s="64">
        <v>5.5</v>
      </c>
      <c r="E48" s="83">
        <v>0.42465753424657532</v>
      </c>
      <c r="F48">
        <v>0</v>
      </c>
      <c r="G48" s="64">
        <v>5</v>
      </c>
    </row>
    <row r="49" spans="1:7" ht="14.4" customHeight="1" x14ac:dyDescent="0.25">
      <c r="A49" t="s">
        <v>226</v>
      </c>
      <c r="B49" t="s">
        <v>227</v>
      </c>
      <c r="C49" t="s">
        <v>228</v>
      </c>
      <c r="D49" s="64">
        <v>6.78</v>
      </c>
      <c r="E49" s="83">
        <v>1.4027397260273973</v>
      </c>
      <c r="F49">
        <v>0</v>
      </c>
      <c r="G49" s="64">
        <v>6</v>
      </c>
    </row>
    <row r="50" spans="1:7" ht="14.4" customHeight="1" x14ac:dyDescent="0.25">
      <c r="A50" t="s">
        <v>229</v>
      </c>
      <c r="B50" t="s">
        <v>230</v>
      </c>
      <c r="C50" t="s">
        <v>231</v>
      </c>
      <c r="D50" s="64">
        <v>4.4400000000000004</v>
      </c>
      <c r="E50" s="83">
        <v>0.11506849315068493</v>
      </c>
      <c r="F50">
        <v>0</v>
      </c>
      <c r="G50" s="64">
        <v>15</v>
      </c>
    </row>
    <row r="51" spans="1:7" ht="14.4" customHeight="1" x14ac:dyDescent="0.25">
      <c r="A51" t="s">
        <v>232</v>
      </c>
      <c r="B51" t="s">
        <v>233</v>
      </c>
      <c r="C51" t="s">
        <v>234</v>
      </c>
      <c r="D51" s="64">
        <v>6.38</v>
      </c>
      <c r="E51" s="83">
        <v>0.11232876712328767</v>
      </c>
      <c r="F51">
        <v>0</v>
      </c>
      <c r="G51" s="64">
        <v>6</v>
      </c>
    </row>
    <row r="52" spans="1:7" ht="14.4" customHeight="1" x14ac:dyDescent="0.25">
      <c r="A52" t="s">
        <v>235</v>
      </c>
      <c r="B52" t="s">
        <v>236</v>
      </c>
      <c r="C52" t="s">
        <v>237</v>
      </c>
      <c r="D52" s="64">
        <v>4.9800000000000004</v>
      </c>
      <c r="E52" s="83">
        <v>7.6712328767123292E-2</v>
      </c>
      <c r="F52">
        <v>0</v>
      </c>
      <c r="G52" s="64">
        <v>5</v>
      </c>
    </row>
    <row r="53" spans="1:7" ht="14.4" customHeight="1" x14ac:dyDescent="0.25">
      <c r="A53" t="s">
        <v>238</v>
      </c>
      <c r="B53" t="s">
        <v>239</v>
      </c>
      <c r="C53" t="s">
        <v>240</v>
      </c>
      <c r="D53" s="64">
        <v>5.5</v>
      </c>
      <c r="E53" s="83">
        <v>0.33698630136986302</v>
      </c>
      <c r="F53">
        <v>0</v>
      </c>
      <c r="G53" s="64">
        <v>6</v>
      </c>
    </row>
    <row r="54" spans="1:7" ht="14.4" customHeight="1" x14ac:dyDescent="0.25">
      <c r="A54" t="s">
        <v>241</v>
      </c>
      <c r="B54" t="s">
        <v>242</v>
      </c>
      <c r="C54" t="s">
        <v>243</v>
      </c>
      <c r="D54" s="64">
        <v>4.1900000000000004</v>
      </c>
      <c r="E54" s="83">
        <v>7.1232876712328766E-2</v>
      </c>
      <c r="F54">
        <v>0</v>
      </c>
      <c r="G54" s="64">
        <v>15</v>
      </c>
    </row>
    <row r="55" spans="1:7" ht="14.4" customHeight="1" x14ac:dyDescent="0.25">
      <c r="A55" t="s">
        <v>244</v>
      </c>
      <c r="B55" t="s">
        <v>245</v>
      </c>
      <c r="C55" t="s">
        <v>246</v>
      </c>
      <c r="D55" s="64">
        <v>3.9</v>
      </c>
      <c r="E55" s="83">
        <v>5.2054794520547946E-2</v>
      </c>
      <c r="F55">
        <v>0</v>
      </c>
      <c r="G55" s="64">
        <v>10</v>
      </c>
    </row>
    <row r="56" spans="1:7" ht="14.4" customHeight="1" x14ac:dyDescent="0.25">
      <c r="A56" t="s">
        <v>247</v>
      </c>
      <c r="B56" t="s">
        <v>248</v>
      </c>
      <c r="C56" t="s">
        <v>249</v>
      </c>
      <c r="D56" s="64">
        <v>5.4</v>
      </c>
      <c r="E56" s="83">
        <v>1.2986301369863014</v>
      </c>
      <c r="F56" t="s">
        <v>25</v>
      </c>
      <c r="G56" s="64">
        <v>3</v>
      </c>
    </row>
    <row r="57" spans="1:7" ht="14.4" customHeight="1" x14ac:dyDescent="0.25">
      <c r="A57" t="s">
        <v>250</v>
      </c>
      <c r="B57" t="s">
        <v>251</v>
      </c>
      <c r="C57" t="s">
        <v>252</v>
      </c>
      <c r="D57" s="64">
        <v>5.5</v>
      </c>
      <c r="E57" s="83">
        <v>0.29589041095890412</v>
      </c>
      <c r="F57">
        <v>0</v>
      </c>
      <c r="G57" s="64">
        <v>5</v>
      </c>
    </row>
    <row r="58" spans="1:7" ht="14.4" customHeight="1" x14ac:dyDescent="0.25">
      <c r="A58" t="s">
        <v>253</v>
      </c>
      <c r="B58" t="s">
        <v>254</v>
      </c>
      <c r="C58" t="s">
        <v>255</v>
      </c>
      <c r="D58" s="64">
        <v>5.48</v>
      </c>
      <c r="E58" s="83">
        <v>0</v>
      </c>
      <c r="F58">
        <v>0</v>
      </c>
      <c r="G58" s="64">
        <v>5</v>
      </c>
    </row>
    <row r="59" spans="1:7" ht="14.4" customHeight="1" x14ac:dyDescent="0.25">
      <c r="A59" t="s">
        <v>256</v>
      </c>
      <c r="B59" t="s">
        <v>257</v>
      </c>
      <c r="C59" t="s">
        <v>258</v>
      </c>
      <c r="D59" s="64">
        <v>4.83</v>
      </c>
      <c r="E59" s="83">
        <v>0</v>
      </c>
      <c r="F59">
        <v>0</v>
      </c>
      <c r="G59" s="64">
        <v>15</v>
      </c>
    </row>
    <row r="60" spans="1:7" ht="14.4" customHeight="1" x14ac:dyDescent="0.25">
      <c r="A60" t="s">
        <v>259</v>
      </c>
      <c r="B60" t="s">
        <v>260</v>
      </c>
      <c r="C60" t="s">
        <v>261</v>
      </c>
      <c r="D60" s="64">
        <v>5.7</v>
      </c>
      <c r="E60" s="83">
        <v>0</v>
      </c>
      <c r="F60">
        <v>0</v>
      </c>
      <c r="G60" s="64">
        <v>6</v>
      </c>
    </row>
    <row r="61" spans="1:7" ht="14.4" customHeight="1" x14ac:dyDescent="0.25">
      <c r="A61" t="s">
        <v>262</v>
      </c>
      <c r="B61" t="s">
        <v>263</v>
      </c>
      <c r="C61" t="s">
        <v>264</v>
      </c>
      <c r="D61" s="64">
        <v>4.93</v>
      </c>
      <c r="E61" s="83">
        <v>0</v>
      </c>
      <c r="F61">
        <v>0</v>
      </c>
      <c r="G61" s="64">
        <v>15</v>
      </c>
    </row>
    <row r="62" spans="1:7" ht="14.4" customHeight="1" x14ac:dyDescent="0.25">
      <c r="A62" t="s">
        <v>265</v>
      </c>
      <c r="B62" t="s">
        <v>266</v>
      </c>
      <c r="C62" t="s">
        <v>267</v>
      </c>
      <c r="D62" s="64">
        <v>5.45</v>
      </c>
      <c r="E62" s="83">
        <v>0</v>
      </c>
      <c r="F62">
        <v>0</v>
      </c>
      <c r="G62" s="64">
        <v>10</v>
      </c>
    </row>
    <row r="63" spans="1:7" ht="14.4" customHeight="1" x14ac:dyDescent="0.25">
      <c r="A63" t="s">
        <v>268</v>
      </c>
      <c r="B63" t="s">
        <v>269</v>
      </c>
      <c r="C63" t="s">
        <v>270</v>
      </c>
      <c r="D63" s="64">
        <v>5.9</v>
      </c>
      <c r="E63" s="83">
        <v>0</v>
      </c>
      <c r="F63">
        <v>0</v>
      </c>
      <c r="G63" s="64">
        <v>5</v>
      </c>
    </row>
    <row r="64" spans="1:7" ht="14.4" customHeight="1" x14ac:dyDescent="0.25">
      <c r="A64" t="s">
        <v>271</v>
      </c>
      <c r="B64" t="s">
        <v>272</v>
      </c>
      <c r="C64" t="s">
        <v>273</v>
      </c>
      <c r="D64" s="64">
        <v>5.18</v>
      </c>
      <c r="E64" s="83">
        <v>0</v>
      </c>
      <c r="F64">
        <v>0</v>
      </c>
      <c r="G64" s="64">
        <v>10</v>
      </c>
    </row>
    <row r="65" spans="1:7" ht="14.4" customHeight="1" x14ac:dyDescent="0.25">
      <c r="A65" t="s">
        <v>274</v>
      </c>
      <c r="B65" t="s">
        <v>275</v>
      </c>
      <c r="C65" t="s">
        <v>276</v>
      </c>
      <c r="D65" s="64">
        <v>5.94</v>
      </c>
      <c r="E65" s="83">
        <v>0</v>
      </c>
      <c r="F65">
        <v>0</v>
      </c>
      <c r="G65" s="64">
        <v>7</v>
      </c>
    </row>
    <row r="66" spans="1:7" ht="14.4" customHeight="1" x14ac:dyDescent="0.25">
      <c r="A66" t="s">
        <v>277</v>
      </c>
      <c r="B66" t="s">
        <v>278</v>
      </c>
      <c r="C66" t="s">
        <v>279</v>
      </c>
      <c r="D66" s="64">
        <v>6</v>
      </c>
      <c r="E66" s="83">
        <v>0</v>
      </c>
      <c r="F66">
        <v>0</v>
      </c>
      <c r="G66" s="64">
        <v>7</v>
      </c>
    </row>
    <row r="67" spans="1:7" ht="14.4" customHeight="1" x14ac:dyDescent="0.25">
      <c r="A67" t="s">
        <v>280</v>
      </c>
      <c r="B67" t="s">
        <v>281</v>
      </c>
      <c r="C67" t="s">
        <v>282</v>
      </c>
      <c r="D67" s="64">
        <v>4.93</v>
      </c>
      <c r="E67" s="83">
        <v>0</v>
      </c>
      <c r="F67">
        <v>0</v>
      </c>
      <c r="G67" s="64">
        <v>15</v>
      </c>
    </row>
    <row r="68" spans="1:7" ht="14.4" customHeight="1" x14ac:dyDescent="0.25">
      <c r="A68" t="s">
        <v>283</v>
      </c>
      <c r="B68" t="s">
        <v>284</v>
      </c>
      <c r="C68" t="s">
        <v>285</v>
      </c>
      <c r="D68" s="64">
        <v>6.65</v>
      </c>
      <c r="E68" s="83">
        <v>2.0575342465753423</v>
      </c>
      <c r="F68" t="s">
        <v>25</v>
      </c>
      <c r="G68" s="64">
        <v>5</v>
      </c>
    </row>
    <row r="69" spans="1:7" ht="14.4" customHeight="1" x14ac:dyDescent="0.25">
      <c r="A69" t="s">
        <v>286</v>
      </c>
      <c r="B69" t="s">
        <v>287</v>
      </c>
      <c r="C69" t="s">
        <v>288</v>
      </c>
      <c r="D69" s="64">
        <v>4.97</v>
      </c>
      <c r="E69" s="83">
        <v>0</v>
      </c>
      <c r="F69">
        <v>0</v>
      </c>
      <c r="G69" s="64">
        <v>15</v>
      </c>
    </row>
    <row r="70" spans="1:7" ht="14.4" customHeight="1" x14ac:dyDescent="0.25">
      <c r="A70" t="s">
        <v>289</v>
      </c>
      <c r="B70" t="s">
        <v>290</v>
      </c>
      <c r="C70" t="s">
        <v>291</v>
      </c>
      <c r="D70" s="64">
        <v>5.78</v>
      </c>
      <c r="E70" s="83">
        <v>1.0246575342465754</v>
      </c>
      <c r="F70" t="s">
        <v>25</v>
      </c>
      <c r="G70" s="64">
        <v>3</v>
      </c>
    </row>
    <row r="71" spans="1:7" ht="14.4" customHeight="1" x14ac:dyDescent="0.25">
      <c r="A71" t="s">
        <v>292</v>
      </c>
      <c r="B71" t="s">
        <v>293</v>
      </c>
      <c r="C71" t="s">
        <v>294</v>
      </c>
      <c r="D71" s="64">
        <v>4.92</v>
      </c>
      <c r="E71" s="83">
        <v>0</v>
      </c>
      <c r="F71">
        <v>0</v>
      </c>
      <c r="G71" s="64">
        <v>10</v>
      </c>
    </row>
    <row r="72" spans="1:7" ht="14.4" customHeight="1" x14ac:dyDescent="0.25">
      <c r="A72" t="s">
        <v>295</v>
      </c>
      <c r="B72" t="s">
        <v>296</v>
      </c>
      <c r="C72" t="s">
        <v>297</v>
      </c>
      <c r="D72" s="64">
        <v>5.28</v>
      </c>
      <c r="E72" s="83">
        <v>0</v>
      </c>
      <c r="F72">
        <v>0</v>
      </c>
      <c r="G72" s="64">
        <v>10</v>
      </c>
    </row>
    <row r="73" spans="1:7" ht="14.4" customHeight="1" x14ac:dyDescent="0.25">
      <c r="A73" t="s">
        <v>298</v>
      </c>
      <c r="B73" t="s">
        <v>299</v>
      </c>
      <c r="C73" t="s">
        <v>300</v>
      </c>
      <c r="D73" s="64">
        <v>6.9</v>
      </c>
      <c r="E73" s="83">
        <v>3.9289617486338799</v>
      </c>
      <c r="F73">
        <v>0</v>
      </c>
      <c r="G73" s="64">
        <v>4</v>
      </c>
    </row>
    <row r="74" spans="1:7" ht="14.4" customHeight="1" x14ac:dyDescent="0.25">
      <c r="A74" t="s">
        <v>301</v>
      </c>
      <c r="B74" t="s">
        <v>302</v>
      </c>
      <c r="C74" t="s">
        <v>303</v>
      </c>
      <c r="D74" s="64">
        <v>5.3</v>
      </c>
      <c r="E74" s="83">
        <v>0</v>
      </c>
      <c r="F74">
        <v>0</v>
      </c>
      <c r="G74" s="64">
        <v>10</v>
      </c>
    </row>
    <row r="75" spans="1:7" ht="14.4" customHeight="1" x14ac:dyDescent="0.25">
      <c r="A75" t="s">
        <v>304</v>
      </c>
      <c r="B75" t="s">
        <v>305</v>
      </c>
      <c r="C75" t="s">
        <v>306</v>
      </c>
      <c r="D75" s="64">
        <v>5.3</v>
      </c>
      <c r="E75" s="83">
        <v>0</v>
      </c>
      <c r="F75">
        <v>0</v>
      </c>
      <c r="G75" s="64">
        <v>10</v>
      </c>
    </row>
    <row r="76" spans="1:7" ht="14.4" customHeight="1" x14ac:dyDescent="0.25">
      <c r="A76" t="s">
        <v>307</v>
      </c>
      <c r="B76" t="s">
        <v>308</v>
      </c>
      <c r="C76" t="s">
        <v>309</v>
      </c>
      <c r="D76" s="64">
        <v>6.9</v>
      </c>
      <c r="E76" s="83">
        <v>3.7917808219178082</v>
      </c>
      <c r="F76">
        <v>0</v>
      </c>
      <c r="G76" s="64">
        <v>2.1</v>
      </c>
    </row>
    <row r="77" spans="1:7" ht="14.4" customHeight="1" x14ac:dyDescent="0.25">
      <c r="A77" t="s">
        <v>310</v>
      </c>
      <c r="B77" t="s">
        <v>311</v>
      </c>
      <c r="C77" t="s">
        <v>312</v>
      </c>
      <c r="D77" s="64">
        <v>6.5</v>
      </c>
      <c r="E77" s="83">
        <v>1.7616438356164383</v>
      </c>
      <c r="F77">
        <v>0</v>
      </c>
      <c r="G77" s="64">
        <v>10</v>
      </c>
    </row>
    <row r="78" spans="1:7" ht="14.4" customHeight="1" x14ac:dyDescent="0.25">
      <c r="A78" t="s">
        <v>313</v>
      </c>
      <c r="B78" t="s">
        <v>314</v>
      </c>
      <c r="C78" t="s">
        <v>315</v>
      </c>
      <c r="D78" s="64">
        <v>5.74</v>
      </c>
      <c r="E78" s="83">
        <v>0</v>
      </c>
      <c r="F78">
        <v>0</v>
      </c>
      <c r="G78" s="64">
        <v>10</v>
      </c>
    </row>
    <row r="79" spans="1:7" ht="14.4" customHeight="1" x14ac:dyDescent="0.25">
      <c r="A79" t="s">
        <v>316</v>
      </c>
      <c r="B79" t="s">
        <v>317</v>
      </c>
      <c r="C79" t="s">
        <v>318</v>
      </c>
      <c r="D79" s="64">
        <v>5.4</v>
      </c>
      <c r="E79" s="83">
        <v>0</v>
      </c>
      <c r="F79">
        <v>0</v>
      </c>
      <c r="G79" s="64">
        <v>10</v>
      </c>
    </row>
    <row r="80" spans="1:7" ht="14.4" customHeight="1" x14ac:dyDescent="0.25">
      <c r="A80" t="s">
        <v>319</v>
      </c>
      <c r="B80" t="s">
        <v>320</v>
      </c>
      <c r="C80" t="s">
        <v>321</v>
      </c>
      <c r="D80" s="64">
        <v>5.5</v>
      </c>
      <c r="E80" s="83">
        <v>0</v>
      </c>
      <c r="F80">
        <v>0</v>
      </c>
      <c r="G80" s="64">
        <v>9</v>
      </c>
    </row>
    <row r="81" spans="1:7" ht="14.4" customHeight="1" x14ac:dyDescent="0.25">
      <c r="A81" t="s">
        <v>322</v>
      </c>
      <c r="B81" t="s">
        <v>323</v>
      </c>
      <c r="C81" t="s">
        <v>324</v>
      </c>
      <c r="D81" s="64">
        <v>5.44</v>
      </c>
      <c r="E81" s="83">
        <v>0</v>
      </c>
      <c r="F81">
        <v>0</v>
      </c>
      <c r="G81" s="64">
        <v>10</v>
      </c>
    </row>
    <row r="82" spans="1:7" ht="14.4" customHeight="1" x14ac:dyDescent="0.25">
      <c r="A82" t="s">
        <v>325</v>
      </c>
      <c r="B82" t="s">
        <v>323</v>
      </c>
      <c r="C82" t="s">
        <v>326</v>
      </c>
      <c r="D82" s="64">
        <v>5.83</v>
      </c>
      <c r="E82" s="83">
        <v>0</v>
      </c>
      <c r="F82">
        <v>0</v>
      </c>
      <c r="G82" s="64">
        <v>7</v>
      </c>
    </row>
    <row r="83" spans="1:7" ht="14.4" customHeight="1" x14ac:dyDescent="0.25">
      <c r="A83" t="s">
        <v>327</v>
      </c>
      <c r="B83" t="s">
        <v>328</v>
      </c>
      <c r="C83" t="s">
        <v>329</v>
      </c>
      <c r="D83" s="64">
        <v>5.7</v>
      </c>
      <c r="E83" s="83">
        <v>0</v>
      </c>
      <c r="F83">
        <v>0</v>
      </c>
      <c r="G83" s="64">
        <v>4</v>
      </c>
    </row>
    <row r="84" spans="1:7" ht="14.4" customHeight="1" x14ac:dyDescent="0.25">
      <c r="A84" t="s">
        <v>330</v>
      </c>
      <c r="B84" t="s">
        <v>331</v>
      </c>
      <c r="C84" t="s">
        <v>332</v>
      </c>
      <c r="D84" s="64">
        <v>5.39</v>
      </c>
      <c r="E84" s="83">
        <v>0</v>
      </c>
      <c r="F84">
        <v>0</v>
      </c>
      <c r="G84" s="64">
        <v>6</v>
      </c>
    </row>
    <row r="85" spans="1:7" ht="14.4" customHeight="1" x14ac:dyDescent="0.25">
      <c r="A85" t="s">
        <v>333</v>
      </c>
      <c r="B85" t="s">
        <v>334</v>
      </c>
      <c r="C85" t="s">
        <v>335</v>
      </c>
      <c r="D85" s="64">
        <v>6.6</v>
      </c>
      <c r="E85" s="83">
        <v>1.5397260273972604</v>
      </c>
      <c r="F85" t="s">
        <v>25</v>
      </c>
      <c r="G85" s="64">
        <v>5</v>
      </c>
    </row>
    <row r="86" spans="1:7" ht="14.4" customHeight="1" x14ac:dyDescent="0.25">
      <c r="A86" t="s">
        <v>336</v>
      </c>
      <c r="B86" t="s">
        <v>337</v>
      </c>
      <c r="C86" t="s">
        <v>338</v>
      </c>
      <c r="D86" s="64">
        <v>5.82</v>
      </c>
      <c r="E86" s="83">
        <v>3.5397260273972604</v>
      </c>
      <c r="F86" t="s">
        <v>25</v>
      </c>
      <c r="G86" s="64">
        <v>20</v>
      </c>
    </row>
    <row r="87" spans="1:7" ht="14.4" customHeight="1" x14ac:dyDescent="0.25">
      <c r="A87" t="s">
        <v>339</v>
      </c>
      <c r="B87" t="s">
        <v>340</v>
      </c>
      <c r="C87" t="s">
        <v>341</v>
      </c>
      <c r="D87" s="64">
        <v>5.03</v>
      </c>
      <c r="E87" s="83">
        <v>0</v>
      </c>
      <c r="F87">
        <v>0</v>
      </c>
      <c r="G87" s="64">
        <v>9</v>
      </c>
    </row>
    <row r="88" spans="1:7" ht="14.4" customHeight="1" x14ac:dyDescent="0.25">
      <c r="A88" t="s">
        <v>342</v>
      </c>
      <c r="B88" t="s">
        <v>343</v>
      </c>
      <c r="C88" t="s">
        <v>344</v>
      </c>
      <c r="D88" s="64">
        <v>5.15</v>
      </c>
      <c r="E88" s="83">
        <v>0</v>
      </c>
      <c r="F88">
        <v>0</v>
      </c>
      <c r="G88" s="64">
        <v>6</v>
      </c>
    </row>
    <row r="89" spans="1:7" ht="14.4" customHeight="1" x14ac:dyDescent="0.25">
      <c r="A89" t="s">
        <v>345</v>
      </c>
      <c r="B89" t="s">
        <v>346</v>
      </c>
      <c r="C89" t="s">
        <v>347</v>
      </c>
      <c r="D89" s="64">
        <v>4.9000000000000004</v>
      </c>
      <c r="E89" s="83">
        <v>0</v>
      </c>
      <c r="F89">
        <v>0</v>
      </c>
      <c r="G89" s="64">
        <v>9</v>
      </c>
    </row>
    <row r="90" spans="1:7" ht="14.4" customHeight="1" x14ac:dyDescent="0.25">
      <c r="A90" t="s">
        <v>348</v>
      </c>
      <c r="B90" t="s">
        <v>349</v>
      </c>
      <c r="C90" t="s">
        <v>350</v>
      </c>
      <c r="D90" s="64">
        <v>5.15</v>
      </c>
      <c r="E90" s="83">
        <v>0</v>
      </c>
      <c r="F90">
        <v>0</v>
      </c>
      <c r="G90" s="64">
        <v>7</v>
      </c>
    </row>
    <row r="91" spans="1:7" ht="14.4" customHeight="1" x14ac:dyDescent="0.25">
      <c r="A91" t="s">
        <v>351</v>
      </c>
      <c r="B91" t="s">
        <v>352</v>
      </c>
      <c r="C91" t="s">
        <v>353</v>
      </c>
      <c r="D91" s="64">
        <v>6.04</v>
      </c>
      <c r="E91" s="83">
        <v>0.38904109589041097</v>
      </c>
      <c r="F91" t="s">
        <v>25</v>
      </c>
      <c r="G91" s="64">
        <v>15</v>
      </c>
    </row>
    <row r="92" spans="1:7" ht="14.4" customHeight="1" x14ac:dyDescent="0.25">
      <c r="A92" t="s">
        <v>354</v>
      </c>
      <c r="B92" t="s">
        <v>355</v>
      </c>
      <c r="C92" t="s">
        <v>356</v>
      </c>
      <c r="D92" s="64">
        <v>5.35</v>
      </c>
      <c r="E92" s="83">
        <v>0</v>
      </c>
      <c r="F92">
        <v>0</v>
      </c>
      <c r="G92" s="64">
        <v>5</v>
      </c>
    </row>
    <row r="93" spans="1:7" ht="14.4" customHeight="1" x14ac:dyDescent="0.25">
      <c r="A93" t="s">
        <v>357</v>
      </c>
      <c r="B93" t="s">
        <v>358</v>
      </c>
      <c r="C93" t="s">
        <v>359</v>
      </c>
      <c r="D93" s="64">
        <v>4.8</v>
      </c>
      <c r="E93" s="83">
        <v>0</v>
      </c>
      <c r="F93">
        <v>0</v>
      </c>
      <c r="G93" s="64">
        <v>9</v>
      </c>
    </row>
    <row r="94" spans="1:7" ht="14.4" customHeight="1" x14ac:dyDescent="0.25">
      <c r="A94" t="s">
        <v>360</v>
      </c>
      <c r="B94" t="s">
        <v>361</v>
      </c>
      <c r="C94" t="s">
        <v>362</v>
      </c>
      <c r="D94" s="64">
        <v>5.86</v>
      </c>
      <c r="E94" s="83">
        <v>0.35068493150684932</v>
      </c>
      <c r="F94" t="s">
        <v>25</v>
      </c>
      <c r="G94" s="64">
        <v>10</v>
      </c>
    </row>
    <row r="95" spans="1:7" ht="14.4" customHeight="1" x14ac:dyDescent="0.25">
      <c r="A95" t="s">
        <v>363</v>
      </c>
      <c r="B95" t="s">
        <v>364</v>
      </c>
      <c r="C95" t="s">
        <v>365</v>
      </c>
      <c r="D95" s="64">
        <v>5.6</v>
      </c>
      <c r="E95" s="83">
        <v>0</v>
      </c>
      <c r="F95">
        <v>0</v>
      </c>
      <c r="G95" s="64">
        <v>4</v>
      </c>
    </row>
    <row r="96" spans="1:7" ht="14.4" customHeight="1" x14ac:dyDescent="0.25">
      <c r="A96" t="s">
        <v>366</v>
      </c>
      <c r="B96" t="s">
        <v>367</v>
      </c>
      <c r="C96" t="s">
        <v>368</v>
      </c>
      <c r="D96" s="64">
        <v>6.38</v>
      </c>
      <c r="E96" s="83">
        <v>1.3095890410958904</v>
      </c>
      <c r="F96">
        <v>0</v>
      </c>
      <c r="G96" s="64">
        <v>10</v>
      </c>
    </row>
    <row r="97" spans="1:7" ht="14.4" customHeight="1" x14ac:dyDescent="0.25">
      <c r="A97" t="s">
        <v>369</v>
      </c>
      <c r="B97" t="s">
        <v>370</v>
      </c>
      <c r="C97" t="s">
        <v>371</v>
      </c>
      <c r="D97" s="64">
        <v>5.0999999999999996</v>
      </c>
      <c r="E97" s="83">
        <v>0</v>
      </c>
      <c r="F97">
        <v>0</v>
      </c>
      <c r="G97" s="64">
        <v>5</v>
      </c>
    </row>
    <row r="98" spans="1:7" ht="14.4" customHeight="1" x14ac:dyDescent="0.25">
      <c r="A98" t="s">
        <v>372</v>
      </c>
      <c r="B98" t="s">
        <v>373</v>
      </c>
      <c r="C98" t="s">
        <v>374</v>
      </c>
      <c r="D98" s="64">
        <v>5.17</v>
      </c>
      <c r="E98" s="83">
        <v>3.2767123287671232</v>
      </c>
      <c r="F98" t="s">
        <v>25</v>
      </c>
      <c r="G98" s="64">
        <v>20</v>
      </c>
    </row>
    <row r="99" spans="1:7" ht="14.4" customHeight="1" x14ac:dyDescent="0.25">
      <c r="A99" t="s">
        <v>375</v>
      </c>
      <c r="B99" t="s">
        <v>376</v>
      </c>
      <c r="C99" t="s">
        <v>377</v>
      </c>
      <c r="D99" s="64">
        <v>4.71</v>
      </c>
      <c r="E99" s="83">
        <v>0</v>
      </c>
      <c r="F99">
        <v>0</v>
      </c>
      <c r="G99" s="64">
        <v>7</v>
      </c>
    </row>
    <row r="100" spans="1:7" ht="14.4" customHeight="1" x14ac:dyDescent="0.25">
      <c r="A100" t="s">
        <v>378</v>
      </c>
      <c r="B100" t="s">
        <v>379</v>
      </c>
      <c r="C100" t="s">
        <v>380</v>
      </c>
      <c r="D100" s="64">
        <v>5.69</v>
      </c>
      <c r="E100" s="83">
        <v>0.25205479452054796</v>
      </c>
      <c r="F100" t="s">
        <v>25</v>
      </c>
      <c r="G100" s="64">
        <v>5</v>
      </c>
    </row>
    <row r="101" spans="1:7" ht="14.4" customHeight="1" x14ac:dyDescent="0.25">
      <c r="A101" t="s">
        <v>381</v>
      </c>
      <c r="B101" t="s">
        <v>382</v>
      </c>
      <c r="C101" t="s">
        <v>383</v>
      </c>
      <c r="D101" s="64">
        <v>6</v>
      </c>
      <c r="E101" s="83">
        <v>3.2246575342465755</v>
      </c>
      <c r="F101">
        <v>0</v>
      </c>
      <c r="G101" s="64">
        <v>5</v>
      </c>
    </row>
    <row r="102" spans="1:7" ht="14.4" customHeight="1" x14ac:dyDescent="0.25">
      <c r="A102" t="s">
        <v>384</v>
      </c>
      <c r="B102" t="s">
        <v>385</v>
      </c>
      <c r="C102" t="s">
        <v>386</v>
      </c>
      <c r="D102" s="64">
        <v>6.08</v>
      </c>
      <c r="E102" s="83">
        <v>0</v>
      </c>
      <c r="F102">
        <v>0</v>
      </c>
      <c r="G102" s="64">
        <v>5</v>
      </c>
    </row>
    <row r="103" spans="1:7" ht="14.4" customHeight="1" x14ac:dyDescent="0.25">
      <c r="A103" t="s">
        <v>387</v>
      </c>
      <c r="B103" t="s">
        <v>385</v>
      </c>
      <c r="C103" t="s">
        <v>388</v>
      </c>
      <c r="D103" s="64">
        <v>5.45</v>
      </c>
      <c r="E103" s="83">
        <v>0</v>
      </c>
      <c r="F103">
        <v>0</v>
      </c>
      <c r="G103" s="64">
        <v>9</v>
      </c>
    </row>
    <row r="104" spans="1:7" ht="14.4" customHeight="1" x14ac:dyDescent="0.25">
      <c r="A104" t="s">
        <v>389</v>
      </c>
      <c r="B104" t="s">
        <v>390</v>
      </c>
      <c r="C104" t="s">
        <v>391</v>
      </c>
      <c r="D104" s="64">
        <v>5.7</v>
      </c>
      <c r="E104" s="83">
        <v>0</v>
      </c>
      <c r="F104">
        <v>0</v>
      </c>
      <c r="G104" s="64">
        <v>5</v>
      </c>
    </row>
    <row r="105" spans="1:7" ht="14.4" customHeight="1" x14ac:dyDescent="0.25">
      <c r="A105" t="s">
        <v>392</v>
      </c>
      <c r="B105" t="s">
        <v>393</v>
      </c>
      <c r="C105" t="s">
        <v>394</v>
      </c>
      <c r="D105" s="64">
        <v>4.9800000000000004</v>
      </c>
      <c r="E105" s="83">
        <v>0</v>
      </c>
      <c r="F105">
        <v>0</v>
      </c>
      <c r="G105" s="64">
        <v>10</v>
      </c>
    </row>
    <row r="106" spans="1:7" ht="14.4" customHeight="1" x14ac:dyDescent="0.25">
      <c r="A106" t="s">
        <v>395</v>
      </c>
      <c r="B106" t="s">
        <v>396</v>
      </c>
      <c r="C106" t="s">
        <v>397</v>
      </c>
      <c r="D106" s="64">
        <v>5.0999999999999996</v>
      </c>
      <c r="E106" s="83">
        <v>0</v>
      </c>
      <c r="F106">
        <v>0</v>
      </c>
      <c r="G106" s="64">
        <v>5</v>
      </c>
    </row>
    <row r="107" spans="1:7" ht="14.4" customHeight="1" x14ac:dyDescent="0.25">
      <c r="A107" t="s">
        <v>398</v>
      </c>
      <c r="B107" t="s">
        <v>399</v>
      </c>
      <c r="C107" t="s">
        <v>400</v>
      </c>
      <c r="D107" s="64">
        <v>4.5999999999999996</v>
      </c>
      <c r="E107" s="83">
        <v>0</v>
      </c>
      <c r="F107">
        <v>0</v>
      </c>
      <c r="G107" s="64">
        <v>10</v>
      </c>
    </row>
    <row r="108" spans="1:7" ht="14.4" customHeight="1" x14ac:dyDescent="0.25">
      <c r="A108" t="s">
        <v>401</v>
      </c>
      <c r="B108" t="s">
        <v>402</v>
      </c>
      <c r="C108" t="s">
        <v>403</v>
      </c>
      <c r="D108" s="64">
        <v>5.38</v>
      </c>
      <c r="E108" s="83">
        <v>0</v>
      </c>
      <c r="F108">
        <v>0</v>
      </c>
      <c r="G108" s="64">
        <v>5</v>
      </c>
    </row>
    <row r="109" spans="1:7" ht="14.4" customHeight="1" x14ac:dyDescent="0.25">
      <c r="A109" t="s">
        <v>404</v>
      </c>
      <c r="B109" t="s">
        <v>405</v>
      </c>
      <c r="C109" t="s">
        <v>406</v>
      </c>
      <c r="D109" s="64">
        <v>5.0999999999999996</v>
      </c>
      <c r="E109" s="83">
        <v>0</v>
      </c>
      <c r="F109">
        <v>0</v>
      </c>
      <c r="G109" s="64">
        <v>5</v>
      </c>
    </row>
    <row r="110" spans="1:7" ht="14.4" customHeight="1" x14ac:dyDescent="0.25">
      <c r="A110" t="s">
        <v>407</v>
      </c>
      <c r="B110" t="s">
        <v>408</v>
      </c>
      <c r="C110" t="s">
        <v>409</v>
      </c>
      <c r="D110" s="64">
        <v>4.42</v>
      </c>
      <c r="E110" s="83">
        <v>0</v>
      </c>
      <c r="F110">
        <v>0</v>
      </c>
      <c r="G110" s="64">
        <v>10</v>
      </c>
    </row>
    <row r="111" spans="1:7" ht="14.4" customHeight="1" x14ac:dyDescent="0.25">
      <c r="A111" t="s">
        <v>410</v>
      </c>
      <c r="B111" t="s">
        <v>411</v>
      </c>
      <c r="C111" t="s">
        <v>412</v>
      </c>
      <c r="D111" s="64">
        <v>5.0599999999999996</v>
      </c>
      <c r="E111" s="83">
        <v>0</v>
      </c>
      <c r="F111">
        <v>0</v>
      </c>
      <c r="G111" s="64">
        <v>5</v>
      </c>
    </row>
    <row r="112" spans="1:7" ht="14.4" customHeight="1" x14ac:dyDescent="0.25">
      <c r="A112" t="s">
        <v>413</v>
      </c>
      <c r="B112" t="s">
        <v>414</v>
      </c>
      <c r="C112" t="s">
        <v>415</v>
      </c>
      <c r="D112" s="64">
        <v>4.95</v>
      </c>
      <c r="E112" s="83">
        <v>0</v>
      </c>
      <c r="F112">
        <v>0</v>
      </c>
      <c r="G112" s="64">
        <v>5</v>
      </c>
    </row>
    <row r="113" spans="1:7" ht="14.4" customHeight="1" x14ac:dyDescent="0.25">
      <c r="A113" t="s">
        <v>416</v>
      </c>
      <c r="B113" t="s">
        <v>417</v>
      </c>
      <c r="C113" t="s">
        <v>418</v>
      </c>
      <c r="D113" s="64">
        <v>4.95</v>
      </c>
      <c r="E113" s="83">
        <v>0</v>
      </c>
      <c r="F113">
        <v>0</v>
      </c>
      <c r="G113" s="64">
        <v>5</v>
      </c>
    </row>
    <row r="114" spans="1:7" ht="14.4" customHeight="1" x14ac:dyDescent="0.25">
      <c r="A114" t="s">
        <v>419</v>
      </c>
      <c r="B114" t="s">
        <v>420</v>
      </c>
      <c r="C114" t="s">
        <v>421</v>
      </c>
      <c r="D114" s="64">
        <v>3.1</v>
      </c>
      <c r="E114" s="83">
        <v>0</v>
      </c>
      <c r="F114">
        <v>0</v>
      </c>
      <c r="G114" s="64">
        <v>10</v>
      </c>
    </row>
    <row r="115" spans="1:7" ht="14.4" customHeight="1" x14ac:dyDescent="0.25">
      <c r="A115" t="s">
        <v>422</v>
      </c>
      <c r="B115" t="s">
        <v>423</v>
      </c>
      <c r="C115" t="s">
        <v>424</v>
      </c>
      <c r="D115" s="64">
        <v>4.09</v>
      </c>
      <c r="E115" s="83">
        <v>0</v>
      </c>
      <c r="F115">
        <v>0</v>
      </c>
      <c r="G115" s="64">
        <v>10</v>
      </c>
    </row>
    <row r="116" spans="1:7" ht="14.4" customHeight="1" x14ac:dyDescent="0.25">
      <c r="A116" t="s">
        <v>425</v>
      </c>
      <c r="B116" t="s">
        <v>426</v>
      </c>
      <c r="C116" t="s">
        <v>427</v>
      </c>
      <c r="D116" s="64">
        <v>7</v>
      </c>
      <c r="E116" s="83">
        <v>0</v>
      </c>
      <c r="F116">
        <v>0</v>
      </c>
      <c r="G116" s="64">
        <v>5</v>
      </c>
    </row>
    <row r="117" spans="1:7" ht="14.4" customHeight="1" x14ac:dyDescent="0.25">
      <c r="A117" t="s">
        <v>428</v>
      </c>
      <c r="B117" t="s">
        <v>429</v>
      </c>
      <c r="C117" t="s">
        <v>430</v>
      </c>
      <c r="D117" s="64">
        <v>4.7699999999999996</v>
      </c>
      <c r="E117" s="83">
        <v>2.3506849315068492</v>
      </c>
      <c r="F117" t="s">
        <v>25</v>
      </c>
      <c r="G117" s="64">
        <v>15</v>
      </c>
    </row>
    <row r="118" spans="1:7" ht="14.4" customHeight="1" x14ac:dyDescent="0.25">
      <c r="A118" t="s">
        <v>431</v>
      </c>
      <c r="B118" t="s">
        <v>432</v>
      </c>
      <c r="C118" t="s">
        <v>433</v>
      </c>
      <c r="D118" s="64">
        <v>6.5</v>
      </c>
      <c r="E118" s="83">
        <v>0</v>
      </c>
      <c r="F118">
        <v>0</v>
      </c>
      <c r="G118" s="64">
        <v>15</v>
      </c>
    </row>
    <row r="119" spans="1:7" ht="14.4" customHeight="1" x14ac:dyDescent="0.25">
      <c r="A119" t="s">
        <v>434</v>
      </c>
      <c r="B119" t="s">
        <v>435</v>
      </c>
      <c r="C119" t="s">
        <v>436</v>
      </c>
      <c r="D119" s="64">
        <v>7</v>
      </c>
      <c r="E119" s="83">
        <v>0</v>
      </c>
      <c r="F119">
        <v>0</v>
      </c>
      <c r="G119" s="64">
        <v>5</v>
      </c>
    </row>
    <row r="120" spans="1:7" ht="14.4" customHeight="1" x14ac:dyDescent="0.25">
      <c r="A120" t="s">
        <v>437</v>
      </c>
      <c r="B120" t="s">
        <v>438</v>
      </c>
      <c r="C120" t="s">
        <v>439</v>
      </c>
      <c r="D120" s="64">
        <v>5.4</v>
      </c>
      <c r="E120" s="83">
        <v>1.9344262295081966</v>
      </c>
      <c r="F120" t="s">
        <v>25</v>
      </c>
      <c r="G120" s="64">
        <v>15</v>
      </c>
    </row>
    <row r="121" spans="1:7" ht="14.4" customHeight="1" x14ac:dyDescent="0.25">
      <c r="A121" t="s">
        <v>440</v>
      </c>
      <c r="B121" t="s">
        <v>441</v>
      </c>
      <c r="C121" t="s">
        <v>442</v>
      </c>
      <c r="D121" s="64">
        <v>5.5</v>
      </c>
      <c r="E121" s="83">
        <v>0</v>
      </c>
      <c r="F121">
        <v>0</v>
      </c>
      <c r="G121" s="64">
        <v>10</v>
      </c>
    </row>
    <row r="122" spans="1:7" ht="14.4" customHeight="1" x14ac:dyDescent="0.25">
      <c r="A122" t="s">
        <v>443</v>
      </c>
      <c r="B122" t="s">
        <v>444</v>
      </c>
      <c r="C122" t="s">
        <v>445</v>
      </c>
      <c r="D122" s="64">
        <v>5.5</v>
      </c>
      <c r="E122" s="83">
        <v>0</v>
      </c>
      <c r="F122">
        <v>0</v>
      </c>
      <c r="G122" s="64">
        <v>5</v>
      </c>
    </row>
    <row r="123" spans="1:7" ht="14.4" customHeight="1" x14ac:dyDescent="0.25">
      <c r="A123" t="s">
        <v>446</v>
      </c>
      <c r="B123" t="s">
        <v>447</v>
      </c>
      <c r="C123" t="s">
        <v>448</v>
      </c>
      <c r="D123" s="64">
        <v>6.95</v>
      </c>
      <c r="E123" s="83">
        <v>0</v>
      </c>
      <c r="F123" t="s">
        <v>25</v>
      </c>
      <c r="G123" s="64">
        <v>5</v>
      </c>
    </row>
    <row r="124" spans="1:7" ht="14.4" customHeight="1" x14ac:dyDescent="0.25">
      <c r="A124" t="s">
        <v>449</v>
      </c>
      <c r="B124" t="s">
        <v>450</v>
      </c>
      <c r="C124" t="s">
        <v>451</v>
      </c>
      <c r="D124" s="64">
        <v>6.02</v>
      </c>
      <c r="E124" s="83">
        <v>0</v>
      </c>
      <c r="F124">
        <v>0</v>
      </c>
      <c r="G124" s="64">
        <v>5</v>
      </c>
    </row>
    <row r="125" spans="1:7" ht="14.4" customHeight="1" x14ac:dyDescent="0.25">
      <c r="A125" t="s">
        <v>452</v>
      </c>
      <c r="B125" t="s">
        <v>453</v>
      </c>
      <c r="C125" t="s">
        <v>454</v>
      </c>
      <c r="D125" s="64">
        <v>3.98</v>
      </c>
      <c r="E125" s="83">
        <v>0</v>
      </c>
      <c r="F125">
        <v>0</v>
      </c>
      <c r="G125" s="64">
        <v>20</v>
      </c>
    </row>
    <row r="126" spans="1:7" ht="14.4" customHeight="1" x14ac:dyDescent="0.25">
      <c r="A126" t="s">
        <v>455</v>
      </c>
      <c r="B126" t="s">
        <v>456</v>
      </c>
      <c r="C126" t="s">
        <v>457</v>
      </c>
      <c r="D126" s="64">
        <v>6.38</v>
      </c>
      <c r="E126" s="83">
        <v>0</v>
      </c>
      <c r="F126">
        <v>0</v>
      </c>
      <c r="G126" s="64">
        <v>5</v>
      </c>
    </row>
    <row r="127" spans="1:7" ht="14.4" customHeight="1" x14ac:dyDescent="0.25">
      <c r="A127" t="s">
        <v>458</v>
      </c>
      <c r="B127" t="s">
        <v>459</v>
      </c>
      <c r="C127" t="s">
        <v>460</v>
      </c>
      <c r="D127" s="64">
        <v>5.6</v>
      </c>
      <c r="E127" s="83">
        <v>1.7643835616438355</v>
      </c>
      <c r="F127" t="s">
        <v>25</v>
      </c>
      <c r="G127" s="64">
        <v>22</v>
      </c>
    </row>
    <row r="128" spans="1:7" ht="14.4" customHeight="1" x14ac:dyDescent="0.25">
      <c r="A128" t="s">
        <v>461</v>
      </c>
      <c r="B128" t="s">
        <v>462</v>
      </c>
      <c r="C128" t="s">
        <v>463</v>
      </c>
      <c r="D128" s="64">
        <v>5.49</v>
      </c>
      <c r="E128" s="83">
        <v>0</v>
      </c>
      <c r="F128">
        <v>0</v>
      </c>
      <c r="G128" s="64">
        <v>5</v>
      </c>
    </row>
    <row r="129" spans="1:7" ht="14.4" customHeight="1" x14ac:dyDescent="0.25">
      <c r="A129" t="s">
        <v>464</v>
      </c>
      <c r="B129" t="s">
        <v>465</v>
      </c>
      <c r="C129" t="s">
        <v>466</v>
      </c>
      <c r="D129" s="64">
        <v>6.5</v>
      </c>
      <c r="E129" s="83">
        <v>0</v>
      </c>
      <c r="F129">
        <v>0</v>
      </c>
      <c r="G129" s="64">
        <v>10</v>
      </c>
    </row>
    <row r="130" spans="1:7" ht="14.4" customHeight="1" x14ac:dyDescent="0.25">
      <c r="A130" t="s">
        <v>467</v>
      </c>
      <c r="B130" t="s">
        <v>468</v>
      </c>
      <c r="C130" t="s">
        <v>469</v>
      </c>
      <c r="D130" s="64">
        <v>5</v>
      </c>
      <c r="E130" s="83">
        <v>1.5315068493150685</v>
      </c>
      <c r="F130" t="s">
        <v>25</v>
      </c>
      <c r="G130" s="64">
        <v>30</v>
      </c>
    </row>
    <row r="131" spans="1:7" ht="14.4" customHeight="1" x14ac:dyDescent="0.25">
      <c r="A131" t="s">
        <v>470</v>
      </c>
      <c r="B131" t="s">
        <v>471</v>
      </c>
      <c r="C131" t="s">
        <v>472</v>
      </c>
      <c r="D131" s="64">
        <v>4.09</v>
      </c>
      <c r="E131" s="83">
        <v>0</v>
      </c>
      <c r="F131" t="s">
        <v>681</v>
      </c>
      <c r="G131" s="64">
        <v>5</v>
      </c>
    </row>
    <row r="132" spans="1:7" ht="14.4" customHeight="1" x14ac:dyDescent="0.25">
      <c r="A132" t="s">
        <v>473</v>
      </c>
      <c r="B132" t="s">
        <v>474</v>
      </c>
      <c r="C132" t="s">
        <v>475</v>
      </c>
      <c r="D132" s="64">
        <v>4.3</v>
      </c>
      <c r="E132" s="83">
        <v>0</v>
      </c>
      <c r="F132" t="s">
        <v>681</v>
      </c>
      <c r="G132" s="64">
        <v>5</v>
      </c>
    </row>
    <row r="133" spans="1:7" ht="14.4" customHeight="1" x14ac:dyDescent="0.25">
      <c r="A133" t="s">
        <v>476</v>
      </c>
      <c r="B133" t="s">
        <v>477</v>
      </c>
      <c r="C133" t="s">
        <v>478</v>
      </c>
      <c r="D133" s="64">
        <v>6.2</v>
      </c>
      <c r="E133" s="83">
        <v>1.284931506849315</v>
      </c>
      <c r="F133" t="s">
        <v>25</v>
      </c>
      <c r="G133" s="64">
        <v>3.6</v>
      </c>
    </row>
    <row r="134" spans="1:7" ht="14.4" customHeight="1" x14ac:dyDescent="0.25">
      <c r="A134" t="s">
        <v>479</v>
      </c>
      <c r="B134" t="s">
        <v>480</v>
      </c>
      <c r="C134" t="s">
        <v>481</v>
      </c>
      <c r="D134" s="64">
        <v>3.78</v>
      </c>
      <c r="E134" s="83">
        <v>0</v>
      </c>
      <c r="F134" t="s">
        <v>681</v>
      </c>
      <c r="G134" s="64">
        <v>15</v>
      </c>
    </row>
    <row r="135" spans="1:7" ht="14.4" customHeight="1" x14ac:dyDescent="0.25">
      <c r="A135" t="s">
        <v>482</v>
      </c>
      <c r="B135" t="s">
        <v>483</v>
      </c>
      <c r="C135" t="s">
        <v>484</v>
      </c>
      <c r="D135" s="64">
        <v>6.2</v>
      </c>
      <c r="E135" s="83">
        <v>0</v>
      </c>
      <c r="F135">
        <v>0</v>
      </c>
      <c r="G135" s="64">
        <v>20</v>
      </c>
    </row>
    <row r="136" spans="1:7" ht="14.4" customHeight="1" x14ac:dyDescent="0.25">
      <c r="A136" t="s">
        <v>485</v>
      </c>
      <c r="B136" t="s">
        <v>486</v>
      </c>
      <c r="C136" t="s">
        <v>487</v>
      </c>
      <c r="D136" s="64">
        <v>4.8499999999999996</v>
      </c>
      <c r="E136" s="83">
        <v>0</v>
      </c>
      <c r="F136" t="s">
        <v>681</v>
      </c>
      <c r="G136" s="64">
        <v>5</v>
      </c>
    </row>
    <row r="137" spans="1:7" ht="14.4" customHeight="1" x14ac:dyDescent="0.25">
      <c r="A137" t="s">
        <v>488</v>
      </c>
      <c r="B137" t="s">
        <v>489</v>
      </c>
      <c r="C137" t="s">
        <v>490</v>
      </c>
      <c r="D137" s="64">
        <v>6.7</v>
      </c>
      <c r="E137" s="83">
        <v>1.0986301369863014</v>
      </c>
      <c r="F137">
        <v>0</v>
      </c>
      <c r="G137" s="64">
        <v>30</v>
      </c>
    </row>
    <row r="138" spans="1:7" ht="14.4" customHeight="1" x14ac:dyDescent="0.25">
      <c r="A138" t="s">
        <v>491</v>
      </c>
      <c r="B138" t="s">
        <v>492</v>
      </c>
      <c r="C138" t="s">
        <v>493</v>
      </c>
      <c r="D138" s="64">
        <v>4.7300000000000004</v>
      </c>
      <c r="E138" s="83">
        <v>0</v>
      </c>
      <c r="F138" t="s">
        <v>681</v>
      </c>
      <c r="G138" s="64">
        <v>5</v>
      </c>
    </row>
    <row r="139" spans="1:7" ht="14.4" customHeight="1" x14ac:dyDescent="0.25">
      <c r="A139" t="s">
        <v>494</v>
      </c>
      <c r="B139" t="s">
        <v>495</v>
      </c>
      <c r="C139" t="s">
        <v>496</v>
      </c>
      <c r="D139" s="64">
        <v>6.5</v>
      </c>
      <c r="E139" s="83">
        <v>0.98087431693989069</v>
      </c>
      <c r="F139" t="s">
        <v>25</v>
      </c>
      <c r="G139" s="64">
        <v>10</v>
      </c>
    </row>
    <row r="140" spans="1:7" ht="14.4" customHeight="1" x14ac:dyDescent="0.25">
      <c r="A140" t="s">
        <v>497</v>
      </c>
      <c r="B140" t="s">
        <v>498</v>
      </c>
      <c r="C140" t="s">
        <v>499</v>
      </c>
      <c r="D140" s="64">
        <v>4.96</v>
      </c>
      <c r="E140" s="83">
        <v>0</v>
      </c>
      <c r="F140" t="s">
        <v>681</v>
      </c>
      <c r="G140" s="64">
        <v>25</v>
      </c>
    </row>
    <row r="141" spans="1:7" ht="14.4" customHeight="1" x14ac:dyDescent="0.25">
      <c r="A141" t="s">
        <v>500</v>
      </c>
      <c r="B141" t="s">
        <v>501</v>
      </c>
      <c r="C141" t="s">
        <v>502</v>
      </c>
      <c r="D141" s="64">
        <v>5.58</v>
      </c>
      <c r="E141" s="83">
        <v>0</v>
      </c>
      <c r="F141" t="s">
        <v>25</v>
      </c>
      <c r="G141" s="64">
        <v>10</v>
      </c>
    </row>
    <row r="142" spans="1:7" ht="14.4" customHeight="1" x14ac:dyDescent="0.25">
      <c r="A142" t="s">
        <v>503</v>
      </c>
      <c r="B142" t="s">
        <v>504</v>
      </c>
      <c r="C142" t="s">
        <v>505</v>
      </c>
      <c r="D142" s="64">
        <v>6.08</v>
      </c>
      <c r="E142" s="83">
        <v>0</v>
      </c>
      <c r="F142" t="s">
        <v>681</v>
      </c>
      <c r="G142" s="64">
        <v>10</v>
      </c>
    </row>
    <row r="143" spans="1:7" ht="14.4" customHeight="1" x14ac:dyDescent="0.25">
      <c r="A143" t="s">
        <v>506</v>
      </c>
      <c r="B143" t="s">
        <v>507</v>
      </c>
      <c r="C143" t="s">
        <v>508</v>
      </c>
      <c r="D143" s="64">
        <v>5.5</v>
      </c>
      <c r="E143" s="83">
        <v>0</v>
      </c>
      <c r="F143" t="s">
        <v>25</v>
      </c>
      <c r="G143" s="64">
        <v>6</v>
      </c>
    </row>
    <row r="144" spans="1:7" ht="14.4" customHeight="1" x14ac:dyDescent="0.25">
      <c r="A144" t="s">
        <v>509</v>
      </c>
      <c r="B144" t="s">
        <v>510</v>
      </c>
      <c r="C144" t="s">
        <v>511</v>
      </c>
      <c r="D144" s="64">
        <v>5.33</v>
      </c>
      <c r="E144" s="83">
        <v>0</v>
      </c>
      <c r="F144" t="s">
        <v>681</v>
      </c>
      <c r="G144" s="64">
        <v>20</v>
      </c>
    </row>
    <row r="145" spans="1:7" ht="14.4" customHeight="1" x14ac:dyDescent="0.25">
      <c r="A145" t="s">
        <v>512</v>
      </c>
      <c r="B145" t="s">
        <v>513</v>
      </c>
      <c r="C145" t="s">
        <v>514</v>
      </c>
      <c r="D145" s="64">
        <v>6.2</v>
      </c>
      <c r="E145" s="83">
        <v>0</v>
      </c>
      <c r="F145" t="s">
        <v>681</v>
      </c>
      <c r="G145" s="64">
        <v>10</v>
      </c>
    </row>
    <row r="146" spans="1:7" ht="14.4" customHeight="1" x14ac:dyDescent="0.25">
      <c r="A146" t="s">
        <v>515</v>
      </c>
      <c r="B146" t="s">
        <v>516</v>
      </c>
      <c r="C146" t="s">
        <v>517</v>
      </c>
      <c r="D146" s="64">
        <v>6.79</v>
      </c>
      <c r="E146" s="83">
        <v>0</v>
      </c>
      <c r="F146" t="s">
        <v>681</v>
      </c>
      <c r="G146" s="64">
        <v>10</v>
      </c>
    </row>
    <row r="147" spans="1:7" ht="14.4" customHeight="1" x14ac:dyDescent="0.25">
      <c r="A147" t="s">
        <v>518</v>
      </c>
      <c r="B147" t="s">
        <v>519</v>
      </c>
      <c r="C147" t="s">
        <v>520</v>
      </c>
      <c r="D147" s="64">
        <v>5.9</v>
      </c>
      <c r="E147" s="83">
        <v>0</v>
      </c>
      <c r="F147">
        <v>0</v>
      </c>
      <c r="G147" s="64">
        <v>30</v>
      </c>
    </row>
    <row r="148" spans="1:7" ht="14.4" customHeight="1" x14ac:dyDescent="0.25">
      <c r="A148" t="s">
        <v>521</v>
      </c>
      <c r="B148" t="s">
        <v>522</v>
      </c>
      <c r="C148" t="s">
        <v>523</v>
      </c>
      <c r="D148" s="64">
        <v>7</v>
      </c>
      <c r="E148" s="83">
        <v>0</v>
      </c>
      <c r="F148">
        <v>0</v>
      </c>
      <c r="G148" s="64">
        <v>5</v>
      </c>
    </row>
    <row r="149" spans="1:7" ht="14.4" customHeight="1" x14ac:dyDescent="0.25">
      <c r="A149" t="s">
        <v>524</v>
      </c>
      <c r="B149" t="s">
        <v>525</v>
      </c>
      <c r="C149" t="s">
        <v>526</v>
      </c>
      <c r="D149" s="64">
        <v>5.05</v>
      </c>
      <c r="E149" s="83">
        <v>0</v>
      </c>
      <c r="F149" t="s">
        <v>25</v>
      </c>
      <c r="G149" s="64">
        <v>15</v>
      </c>
    </row>
    <row r="150" spans="1:7" ht="14.4" customHeight="1" x14ac:dyDescent="0.25">
      <c r="A150" t="s">
        <v>527</v>
      </c>
      <c r="B150" t="s">
        <v>528</v>
      </c>
      <c r="C150" t="s">
        <v>529</v>
      </c>
      <c r="D150" s="64">
        <v>5.32</v>
      </c>
      <c r="E150" s="83">
        <v>0</v>
      </c>
      <c r="F150" t="s">
        <v>25</v>
      </c>
      <c r="G150" s="64">
        <v>4.5999999999999996</v>
      </c>
    </row>
    <row r="151" spans="1:7" ht="14.4" customHeight="1" x14ac:dyDescent="0.25">
      <c r="A151" t="s">
        <v>530</v>
      </c>
      <c r="B151" t="s">
        <v>531</v>
      </c>
      <c r="C151" t="s">
        <v>532</v>
      </c>
      <c r="D151" s="64">
        <v>5.43</v>
      </c>
      <c r="E151" s="83">
        <v>0</v>
      </c>
      <c r="F151">
        <v>0</v>
      </c>
      <c r="G151" s="64">
        <v>15</v>
      </c>
    </row>
    <row r="152" spans="1:7" ht="14.4" customHeight="1" x14ac:dyDescent="0.25">
      <c r="A152" t="s">
        <v>533</v>
      </c>
      <c r="B152" t="s">
        <v>534</v>
      </c>
      <c r="C152" t="s">
        <v>535</v>
      </c>
      <c r="D152" s="64">
        <v>6</v>
      </c>
      <c r="E152" s="83">
        <v>0</v>
      </c>
      <c r="F152" t="s">
        <v>25</v>
      </c>
      <c r="G152" s="64">
        <v>9</v>
      </c>
    </row>
    <row r="153" spans="1:7" ht="14.4" customHeight="1" x14ac:dyDescent="0.25">
      <c r="A153" t="s">
        <v>536</v>
      </c>
      <c r="B153" t="s">
        <v>537</v>
      </c>
      <c r="C153" t="s">
        <v>538</v>
      </c>
      <c r="D153" s="64">
        <v>4.9000000000000004</v>
      </c>
      <c r="E153" s="83">
        <v>0</v>
      </c>
      <c r="F153" t="s">
        <v>25</v>
      </c>
      <c r="G153" s="64">
        <v>40</v>
      </c>
    </row>
    <row r="154" spans="1:7" ht="14.4" customHeight="1" x14ac:dyDescent="0.25">
      <c r="A154" t="s">
        <v>539</v>
      </c>
      <c r="B154" t="s">
        <v>540</v>
      </c>
      <c r="C154" t="s">
        <v>541</v>
      </c>
      <c r="D154" s="64">
        <v>4.93</v>
      </c>
      <c r="E154" s="83">
        <v>0</v>
      </c>
      <c r="F154" t="s">
        <v>25</v>
      </c>
      <c r="G154" s="64">
        <v>10</v>
      </c>
    </row>
    <row r="155" spans="1:7" ht="14.4" customHeight="1" x14ac:dyDescent="0.25">
      <c r="A155" t="s">
        <v>542</v>
      </c>
      <c r="B155" t="s">
        <v>543</v>
      </c>
      <c r="C155" t="s">
        <v>544</v>
      </c>
      <c r="D155" s="64">
        <v>4.93</v>
      </c>
      <c r="E155" s="83">
        <v>0</v>
      </c>
      <c r="F155" t="s">
        <v>25</v>
      </c>
      <c r="G155" s="64">
        <v>10</v>
      </c>
    </row>
    <row r="156" spans="1:7" ht="14.4" customHeight="1" x14ac:dyDescent="0.25">
      <c r="A156" t="s">
        <v>545</v>
      </c>
      <c r="B156" t="s">
        <v>546</v>
      </c>
      <c r="C156" t="s">
        <v>547</v>
      </c>
      <c r="D156" s="64">
        <v>4.8499999999999996</v>
      </c>
      <c r="E156" s="83">
        <v>0</v>
      </c>
      <c r="F156" t="s">
        <v>25</v>
      </c>
      <c r="G156" s="64">
        <v>10</v>
      </c>
    </row>
    <row r="157" spans="1:7" ht="14.4" customHeight="1" x14ac:dyDescent="0.25">
      <c r="A157" t="s">
        <v>548</v>
      </c>
      <c r="B157" t="s">
        <v>546</v>
      </c>
      <c r="C157" t="s">
        <v>549</v>
      </c>
      <c r="D157" s="64">
        <v>5.05</v>
      </c>
      <c r="E157" s="83">
        <v>8.7671232876712329E-2</v>
      </c>
      <c r="F157" t="s">
        <v>25</v>
      </c>
      <c r="G157" s="64">
        <v>10</v>
      </c>
    </row>
    <row r="158" spans="1:7" ht="14.4" customHeight="1" x14ac:dyDescent="0.25">
      <c r="A158" t="s">
        <v>550</v>
      </c>
      <c r="B158" t="s">
        <v>551</v>
      </c>
      <c r="C158" t="s">
        <v>552</v>
      </c>
      <c r="D158" s="64">
        <v>4.88</v>
      </c>
      <c r="E158" s="83">
        <v>0</v>
      </c>
      <c r="F158" t="s">
        <v>25</v>
      </c>
      <c r="G158" s="64">
        <v>10</v>
      </c>
    </row>
    <row r="159" spans="1:7" ht="14.4" customHeight="1" x14ac:dyDescent="0.25">
      <c r="A159" t="s">
        <v>553</v>
      </c>
      <c r="B159" t="s">
        <v>551</v>
      </c>
      <c r="C159" t="s">
        <v>554</v>
      </c>
      <c r="D159" s="64">
        <v>5.08</v>
      </c>
      <c r="E159" s="83">
        <v>5.4794520547945202E-2</v>
      </c>
      <c r="F159" t="s">
        <v>25</v>
      </c>
      <c r="G159" s="64">
        <v>10</v>
      </c>
    </row>
    <row r="160" spans="1:7" ht="14.4" customHeight="1" x14ac:dyDescent="0.25">
      <c r="A160" t="s">
        <v>555</v>
      </c>
      <c r="C160" t="s">
        <v>556</v>
      </c>
      <c r="D160" s="64"/>
      <c r="E160" s="83">
        <v>0</v>
      </c>
      <c r="F160">
        <v>0</v>
      </c>
      <c r="G160" s="64">
        <v>0</v>
      </c>
    </row>
    <row r="161" spans="1:7" ht="14.4" customHeight="1" x14ac:dyDescent="0.25">
      <c r="A161" t="s">
        <v>557</v>
      </c>
      <c r="C161" t="s">
        <v>558</v>
      </c>
      <c r="D161" s="64"/>
      <c r="E161" s="83">
        <v>0</v>
      </c>
      <c r="F161">
        <v>0</v>
      </c>
      <c r="G161" s="64">
        <v>0</v>
      </c>
    </row>
    <row r="162" spans="1:7" ht="14.4" customHeight="1" x14ac:dyDescent="0.25">
      <c r="D162" s="64"/>
      <c r="E162" s="83"/>
      <c r="G162" s="64"/>
    </row>
    <row r="163" spans="1:7" ht="14.4" customHeight="1" x14ac:dyDescent="0.25">
      <c r="D163" s="64"/>
      <c r="E163" s="83"/>
      <c r="G163" s="64"/>
    </row>
    <row r="164" spans="1:7" ht="14.4" customHeight="1" x14ac:dyDescent="0.25">
      <c r="D164" s="64"/>
      <c r="E164" s="83"/>
      <c r="G164" s="64"/>
    </row>
    <row r="165" spans="1:7" ht="14.4" customHeight="1" x14ac:dyDescent="0.25">
      <c r="D165" s="64"/>
      <c r="E165" s="83"/>
      <c r="G165" s="64"/>
    </row>
    <row r="166" spans="1:7" ht="14.4" customHeight="1" x14ac:dyDescent="0.25">
      <c r="D166" s="64"/>
      <c r="E166" s="83"/>
      <c r="G166" s="64"/>
    </row>
    <row r="167" spans="1:7" ht="14.4" customHeight="1" x14ac:dyDescent="0.25">
      <c r="A167" s="143" t="s">
        <v>559</v>
      </c>
      <c r="B167" s="143"/>
      <c r="C167" s="143"/>
      <c r="D167" s="143"/>
      <c r="E167" s="83"/>
      <c r="G167" s="64"/>
    </row>
    <row r="168" spans="1:7" ht="14.4" customHeight="1" x14ac:dyDescent="0.25">
      <c r="A168" s="84" t="s">
        <v>560</v>
      </c>
      <c r="B168" s="84" t="s">
        <v>561</v>
      </c>
      <c r="C168" s="84" t="s">
        <v>562</v>
      </c>
      <c r="D168" s="85" t="s">
        <v>563</v>
      </c>
      <c r="E168" s="83"/>
      <c r="G168" s="64"/>
    </row>
    <row r="169" spans="1:7" ht="14.4" customHeight="1" x14ac:dyDescent="0.25">
      <c r="A169" t="s">
        <v>564</v>
      </c>
      <c r="B169" t="s">
        <v>25</v>
      </c>
      <c r="C169" t="s">
        <v>565</v>
      </c>
      <c r="D169" s="64" t="s">
        <v>566</v>
      </c>
      <c r="E169" s="83"/>
      <c r="G169" s="64"/>
    </row>
    <row r="170" spans="1:7" ht="14.4" customHeight="1" x14ac:dyDescent="0.25">
      <c r="A170" t="s">
        <v>567</v>
      </c>
      <c r="B170" t="s">
        <v>25</v>
      </c>
      <c r="C170" t="s">
        <v>565</v>
      </c>
      <c r="D170" s="64" t="s">
        <v>566</v>
      </c>
      <c r="E170" s="83"/>
      <c r="G170" s="64"/>
    </row>
    <row r="171" spans="1:7" ht="14.4" customHeight="1" x14ac:dyDescent="0.25">
      <c r="A171" t="s">
        <v>568</v>
      </c>
      <c r="B171" t="s">
        <v>25</v>
      </c>
      <c r="C171" t="s">
        <v>565</v>
      </c>
      <c r="D171" s="64" t="s">
        <v>566</v>
      </c>
      <c r="E171" s="83"/>
      <c r="G171" s="64"/>
    </row>
    <row r="172" spans="1:7" ht="14.4" customHeight="1" x14ac:dyDescent="0.25">
      <c r="A172" t="s">
        <v>569</v>
      </c>
      <c r="B172" t="s">
        <v>25</v>
      </c>
      <c r="C172" t="s">
        <v>565</v>
      </c>
      <c r="D172" s="64" t="s">
        <v>570</v>
      </c>
      <c r="E172" s="83"/>
      <c r="G172" s="64"/>
    </row>
    <row r="173" spans="1:7" ht="14.4" customHeight="1" x14ac:dyDescent="0.25">
      <c r="A173" t="s">
        <v>571</v>
      </c>
      <c r="B173" t="s">
        <v>25</v>
      </c>
      <c r="C173" t="s">
        <v>565</v>
      </c>
      <c r="D173" s="64" t="s">
        <v>570</v>
      </c>
      <c r="E173" s="83"/>
      <c r="G173" s="64"/>
    </row>
    <row r="174" spans="1:7" ht="14.4" customHeight="1" x14ac:dyDescent="0.25">
      <c r="A174" t="s">
        <v>572</v>
      </c>
      <c r="B174" t="s">
        <v>25</v>
      </c>
      <c r="C174" t="s">
        <v>565</v>
      </c>
      <c r="D174" s="64" t="s">
        <v>570</v>
      </c>
      <c r="E174" s="83"/>
      <c r="G174" s="64"/>
    </row>
    <row r="175" spans="1:7" ht="14.4" customHeight="1" x14ac:dyDescent="0.25">
      <c r="A175" t="s">
        <v>573</v>
      </c>
      <c r="B175" t="s">
        <v>25</v>
      </c>
      <c r="C175" t="s">
        <v>565</v>
      </c>
      <c r="D175" s="64" t="s">
        <v>570</v>
      </c>
      <c r="E175" s="83"/>
      <c r="G175" s="64"/>
    </row>
    <row r="176" spans="1:7" ht="14.4" customHeight="1" x14ac:dyDescent="0.25">
      <c r="A176" t="s">
        <v>574</v>
      </c>
      <c r="B176" t="s">
        <v>25</v>
      </c>
      <c r="C176" t="s">
        <v>565</v>
      </c>
      <c r="D176" s="64" t="s">
        <v>570</v>
      </c>
      <c r="E176" s="83"/>
      <c r="G176" s="64"/>
    </row>
    <row r="177" spans="1:7" ht="14.4" customHeight="1" x14ac:dyDescent="0.25">
      <c r="A177" t="s">
        <v>575</v>
      </c>
      <c r="B177" t="s">
        <v>25</v>
      </c>
      <c r="C177" t="s">
        <v>576</v>
      </c>
      <c r="D177" s="64" t="s">
        <v>570</v>
      </c>
      <c r="E177" s="83"/>
      <c r="G177" s="64"/>
    </row>
    <row r="178" spans="1:7" ht="14.4" customHeight="1" x14ac:dyDescent="0.25">
      <c r="A178" t="s">
        <v>577</v>
      </c>
      <c r="B178" t="s">
        <v>25</v>
      </c>
      <c r="C178" t="s">
        <v>565</v>
      </c>
      <c r="D178" s="64" t="s">
        <v>570</v>
      </c>
      <c r="E178" s="83"/>
      <c r="G178" s="64"/>
    </row>
    <row r="179" spans="1:7" ht="14.4" customHeight="1" x14ac:dyDescent="0.25">
      <c r="A179" t="s">
        <v>578</v>
      </c>
      <c r="B179" t="s">
        <v>25</v>
      </c>
      <c r="C179" t="s">
        <v>565</v>
      </c>
      <c r="D179" s="64" t="s">
        <v>570</v>
      </c>
      <c r="E179" s="83"/>
      <c r="G179" s="64"/>
    </row>
    <row r="180" spans="1:7" ht="14.4" customHeight="1" x14ac:dyDescent="0.25">
      <c r="A180" t="s">
        <v>579</v>
      </c>
      <c r="B180" t="s">
        <v>25</v>
      </c>
      <c r="C180" t="s">
        <v>565</v>
      </c>
      <c r="D180" s="64" t="s">
        <v>570</v>
      </c>
      <c r="E180" s="83"/>
      <c r="G180" s="64"/>
    </row>
    <row r="181" spans="1:7" ht="14.4" customHeight="1" x14ac:dyDescent="0.25">
      <c r="A181" t="s">
        <v>580</v>
      </c>
      <c r="B181" t="s">
        <v>25</v>
      </c>
      <c r="C181" t="s">
        <v>576</v>
      </c>
      <c r="D181" s="64" t="s">
        <v>570</v>
      </c>
      <c r="E181" s="83"/>
      <c r="G181" s="64"/>
    </row>
    <row r="182" spans="1:7" ht="14.4" customHeight="1" x14ac:dyDescent="0.25">
      <c r="A182" t="s">
        <v>581</v>
      </c>
      <c r="B182" t="s">
        <v>25</v>
      </c>
      <c r="C182" t="s">
        <v>565</v>
      </c>
      <c r="D182" s="64" t="s">
        <v>570</v>
      </c>
      <c r="E182" s="83"/>
      <c r="G182" s="64"/>
    </row>
    <row r="183" spans="1:7" ht="14.4" customHeight="1" x14ac:dyDescent="0.25">
      <c r="A183" t="s">
        <v>582</v>
      </c>
      <c r="B183" t="s">
        <v>25</v>
      </c>
      <c r="C183" t="s">
        <v>565</v>
      </c>
      <c r="D183" s="64" t="s">
        <v>570</v>
      </c>
      <c r="E183" s="83"/>
      <c r="G183" s="64"/>
    </row>
    <row r="184" spans="1:7" ht="14.4" customHeight="1" x14ac:dyDescent="0.25">
      <c r="A184" t="s">
        <v>583</v>
      </c>
      <c r="B184" t="s">
        <v>25</v>
      </c>
      <c r="C184" t="s">
        <v>565</v>
      </c>
      <c r="D184" s="64" t="s">
        <v>570</v>
      </c>
      <c r="E184" s="83"/>
      <c r="G184" s="64"/>
    </row>
    <row r="185" spans="1:7" ht="14.4" customHeight="1" x14ac:dyDescent="0.25">
      <c r="A185" t="s">
        <v>584</v>
      </c>
      <c r="B185" t="s">
        <v>25</v>
      </c>
      <c r="C185" t="s">
        <v>576</v>
      </c>
      <c r="D185" s="64" t="s">
        <v>570</v>
      </c>
      <c r="E185" s="83"/>
      <c r="G185" s="64"/>
    </row>
    <row r="186" spans="1:7" ht="14.4" customHeight="1" x14ac:dyDescent="0.25">
      <c r="A186" t="s">
        <v>585</v>
      </c>
      <c r="B186" t="s">
        <v>25</v>
      </c>
      <c r="C186" t="s">
        <v>565</v>
      </c>
      <c r="D186" s="64" t="s">
        <v>570</v>
      </c>
      <c r="E186" s="83"/>
      <c r="G186" s="64"/>
    </row>
    <row r="187" spans="1:7" ht="14.4" customHeight="1" x14ac:dyDescent="0.25">
      <c r="A187" t="s">
        <v>586</v>
      </c>
      <c r="B187" t="s">
        <v>25</v>
      </c>
      <c r="C187" t="s">
        <v>576</v>
      </c>
      <c r="D187" s="64" t="s">
        <v>570</v>
      </c>
      <c r="E187" s="83"/>
      <c r="G187" s="64"/>
    </row>
    <row r="188" spans="1:7" ht="14.4" customHeight="1" x14ac:dyDescent="0.25">
      <c r="A188" t="s">
        <v>587</v>
      </c>
      <c r="B188" t="s">
        <v>25</v>
      </c>
      <c r="C188" t="s">
        <v>565</v>
      </c>
      <c r="D188" s="64" t="s">
        <v>570</v>
      </c>
      <c r="E188" s="83"/>
      <c r="G188" s="64"/>
    </row>
    <row r="189" spans="1:7" ht="14.4" customHeight="1" x14ac:dyDescent="0.25">
      <c r="A189" t="s">
        <v>588</v>
      </c>
      <c r="B189" t="s">
        <v>25</v>
      </c>
      <c r="C189" t="s">
        <v>565</v>
      </c>
      <c r="D189" s="64" t="s">
        <v>570</v>
      </c>
      <c r="E189" s="83"/>
      <c r="G189" s="64"/>
    </row>
    <row r="190" spans="1:7" ht="14.4" customHeight="1" x14ac:dyDescent="0.25">
      <c r="A190" t="s">
        <v>589</v>
      </c>
      <c r="B190" t="s">
        <v>25</v>
      </c>
      <c r="C190" t="s">
        <v>576</v>
      </c>
      <c r="D190" s="64" t="s">
        <v>570</v>
      </c>
      <c r="E190" s="83"/>
      <c r="G190" s="64"/>
    </row>
    <row r="191" spans="1:7" ht="14.4" customHeight="1" x14ac:dyDescent="0.25">
      <c r="A191" t="s">
        <v>590</v>
      </c>
      <c r="B191" t="s">
        <v>25</v>
      </c>
      <c r="C191" t="s">
        <v>565</v>
      </c>
      <c r="D191" s="64" t="s">
        <v>570</v>
      </c>
      <c r="E191" s="83"/>
      <c r="G191" s="64"/>
    </row>
    <row r="192" spans="1:7" ht="14.4" customHeight="1" x14ac:dyDescent="0.25">
      <c r="A192" t="s">
        <v>486</v>
      </c>
      <c r="B192" t="s">
        <v>25</v>
      </c>
      <c r="C192" t="s">
        <v>565</v>
      </c>
      <c r="D192" s="64" t="s">
        <v>570</v>
      </c>
      <c r="E192" s="83"/>
      <c r="G192" s="64"/>
    </row>
    <row r="193" spans="1:7" ht="14.4" customHeight="1" x14ac:dyDescent="0.25">
      <c r="A193" t="s">
        <v>591</v>
      </c>
      <c r="B193" t="s">
        <v>25</v>
      </c>
      <c r="C193" t="s">
        <v>576</v>
      </c>
      <c r="D193" s="64" t="s">
        <v>570</v>
      </c>
      <c r="E193" s="83"/>
      <c r="G193" s="64"/>
    </row>
    <row r="194" spans="1:7" ht="14.4" customHeight="1" x14ac:dyDescent="0.25">
      <c r="A194" t="s">
        <v>592</v>
      </c>
      <c r="B194" t="s">
        <v>25</v>
      </c>
      <c r="C194" t="s">
        <v>565</v>
      </c>
      <c r="D194" s="64" t="s">
        <v>570</v>
      </c>
      <c r="E194" s="83"/>
      <c r="G194" s="64"/>
    </row>
    <row r="195" spans="1:7" ht="14.4" customHeight="1" x14ac:dyDescent="0.25">
      <c r="A195" t="s">
        <v>501</v>
      </c>
      <c r="B195" t="s">
        <v>25</v>
      </c>
      <c r="C195" t="s">
        <v>565</v>
      </c>
      <c r="D195" s="64" t="s">
        <v>570</v>
      </c>
      <c r="E195" s="83"/>
      <c r="G195" s="64"/>
    </row>
    <row r="196" spans="1:7" ht="14.4" customHeight="1" x14ac:dyDescent="0.25">
      <c r="A196" t="s">
        <v>593</v>
      </c>
      <c r="B196" t="s">
        <v>25</v>
      </c>
      <c r="C196" t="s">
        <v>565</v>
      </c>
      <c r="D196" s="64" t="s">
        <v>594</v>
      </c>
      <c r="E196" s="83"/>
      <c r="G196" s="64"/>
    </row>
    <row r="197" spans="1:7" ht="14.4" customHeight="1" x14ac:dyDescent="0.25">
      <c r="A197" t="s">
        <v>595</v>
      </c>
      <c r="B197" t="s">
        <v>25</v>
      </c>
      <c r="C197" t="s">
        <v>565</v>
      </c>
      <c r="D197" s="64" t="s">
        <v>594</v>
      </c>
      <c r="E197" s="83"/>
      <c r="G197" s="64"/>
    </row>
    <row r="198" spans="1:7" ht="14.4" customHeight="1" x14ac:dyDescent="0.25">
      <c r="A198" t="s">
        <v>596</v>
      </c>
      <c r="B198" t="s">
        <v>25</v>
      </c>
      <c r="C198" t="s">
        <v>565</v>
      </c>
      <c r="D198" s="64" t="s">
        <v>594</v>
      </c>
      <c r="E198" s="83"/>
      <c r="G198" s="64"/>
    </row>
    <row r="199" spans="1:7" ht="14.4" customHeight="1" x14ac:dyDescent="0.25">
      <c r="A199" t="s">
        <v>597</v>
      </c>
      <c r="B199" t="s">
        <v>25</v>
      </c>
      <c r="C199" t="s">
        <v>565</v>
      </c>
      <c r="D199" s="64" t="s">
        <v>570</v>
      </c>
      <c r="E199" s="83"/>
      <c r="G199" s="64"/>
    </row>
    <row r="200" spans="1:7" ht="14.4" customHeight="1" x14ac:dyDescent="0.25">
      <c r="A200" t="s">
        <v>598</v>
      </c>
      <c r="B200" t="s">
        <v>25</v>
      </c>
      <c r="C200" t="s">
        <v>565</v>
      </c>
      <c r="D200" s="64" t="s">
        <v>570</v>
      </c>
      <c r="E200" s="83"/>
      <c r="G200" s="64"/>
    </row>
    <row r="201" spans="1:7" ht="14.4" customHeight="1" x14ac:dyDescent="0.25">
      <c r="A201" t="s">
        <v>599</v>
      </c>
      <c r="B201" t="s">
        <v>25</v>
      </c>
      <c r="C201" t="s">
        <v>576</v>
      </c>
      <c r="D201" s="64" t="s">
        <v>570</v>
      </c>
      <c r="E201" s="83"/>
      <c r="G201" s="64"/>
    </row>
    <row r="202" spans="1:7" ht="14.4" customHeight="1" x14ac:dyDescent="0.25">
      <c r="A202" t="s">
        <v>600</v>
      </c>
      <c r="B202" t="s">
        <v>25</v>
      </c>
      <c r="C202" t="s">
        <v>565</v>
      </c>
      <c r="D202" s="64" t="s">
        <v>570</v>
      </c>
      <c r="E202" s="83"/>
      <c r="G202" s="64"/>
    </row>
    <row r="203" spans="1:7" ht="14.4" customHeight="1" x14ac:dyDescent="0.25">
      <c r="A203" t="s">
        <v>601</v>
      </c>
      <c r="B203" t="s">
        <v>25</v>
      </c>
      <c r="C203" t="s">
        <v>565</v>
      </c>
      <c r="D203" s="64" t="s">
        <v>570</v>
      </c>
      <c r="E203" s="83"/>
      <c r="G203" s="64"/>
    </row>
    <row r="204" spans="1:7" ht="14.4" customHeight="1" x14ac:dyDescent="0.25">
      <c r="A204" t="s">
        <v>602</v>
      </c>
      <c r="B204" t="s">
        <v>25</v>
      </c>
      <c r="C204" t="s">
        <v>565</v>
      </c>
      <c r="D204" s="64" t="s">
        <v>570</v>
      </c>
      <c r="E204" s="83"/>
      <c r="G204" s="64"/>
    </row>
    <row r="205" spans="1:7" ht="14.4" customHeight="1" x14ac:dyDescent="0.25">
      <c r="A205" t="s">
        <v>603</v>
      </c>
      <c r="B205" t="s">
        <v>25</v>
      </c>
      <c r="C205" t="s">
        <v>565</v>
      </c>
      <c r="D205" s="64" t="s">
        <v>570</v>
      </c>
      <c r="E205" s="83"/>
      <c r="G205" s="64"/>
    </row>
    <row r="206" spans="1:7" ht="14.4" customHeight="1" x14ac:dyDescent="0.25">
      <c r="A206" t="s">
        <v>604</v>
      </c>
      <c r="B206" t="s">
        <v>25</v>
      </c>
      <c r="C206" t="s">
        <v>565</v>
      </c>
      <c r="D206" s="64" t="s">
        <v>570</v>
      </c>
      <c r="E206" s="83"/>
      <c r="G206" s="64"/>
    </row>
    <row r="207" spans="1:7" ht="14.4" customHeight="1" x14ac:dyDescent="0.25">
      <c r="A207" t="s">
        <v>605</v>
      </c>
      <c r="B207" t="s">
        <v>25</v>
      </c>
      <c r="C207" t="s">
        <v>565</v>
      </c>
      <c r="D207" s="64" t="s">
        <v>606</v>
      </c>
      <c r="E207" s="83"/>
      <c r="G207" s="64"/>
    </row>
    <row r="208" spans="1:7" ht="14.4" customHeight="1" x14ac:dyDescent="0.25">
      <c r="A208" t="s">
        <v>607</v>
      </c>
      <c r="B208" t="s">
        <v>25</v>
      </c>
      <c r="C208" t="s">
        <v>565</v>
      </c>
      <c r="D208" s="64" t="s">
        <v>570</v>
      </c>
      <c r="E208" s="83"/>
      <c r="G208" s="64"/>
    </row>
    <row r="209" spans="1:7" ht="14.4" customHeight="1" x14ac:dyDescent="0.25">
      <c r="A209" t="s">
        <v>608</v>
      </c>
      <c r="B209" t="s">
        <v>25</v>
      </c>
      <c r="C209" t="s">
        <v>565</v>
      </c>
      <c r="D209" s="64" t="s">
        <v>570</v>
      </c>
      <c r="E209" s="83"/>
      <c r="G209" s="64"/>
    </row>
    <row r="210" spans="1:7" ht="14.4" customHeight="1" x14ac:dyDescent="0.25">
      <c r="A210" t="s">
        <v>609</v>
      </c>
      <c r="B210" t="s">
        <v>25</v>
      </c>
      <c r="C210" t="s">
        <v>565</v>
      </c>
      <c r="D210" s="64" t="s">
        <v>570</v>
      </c>
      <c r="E210" s="83"/>
      <c r="G210" s="64"/>
    </row>
    <row r="211" spans="1:7" ht="14.4" customHeight="1" x14ac:dyDescent="0.25">
      <c r="A211" t="s">
        <v>610</v>
      </c>
      <c r="B211" t="s">
        <v>611</v>
      </c>
      <c r="C211" t="s">
        <v>612</v>
      </c>
      <c r="D211" s="64" t="s">
        <v>570</v>
      </c>
      <c r="E211" s="83"/>
      <c r="G211" s="64"/>
    </row>
    <row r="212" spans="1:7" ht="14.4" customHeight="1" x14ac:dyDescent="0.25">
      <c r="A212" t="s">
        <v>613</v>
      </c>
      <c r="B212" t="s">
        <v>611</v>
      </c>
      <c r="C212" t="s">
        <v>565</v>
      </c>
      <c r="D212" s="64" t="s">
        <v>570</v>
      </c>
      <c r="E212" s="83"/>
      <c r="G212" s="64"/>
    </row>
    <row r="213" spans="1:7" ht="14.4" customHeight="1" x14ac:dyDescent="0.25">
      <c r="A213" t="s">
        <v>614</v>
      </c>
      <c r="B213" t="s">
        <v>611</v>
      </c>
      <c r="C213" t="s">
        <v>576</v>
      </c>
      <c r="D213" s="64" t="s">
        <v>570</v>
      </c>
      <c r="E213" s="83"/>
      <c r="G213" s="64"/>
    </row>
    <row r="214" spans="1:7" ht="14.4" customHeight="1" x14ac:dyDescent="0.25">
      <c r="A214" t="s">
        <v>615</v>
      </c>
      <c r="B214" t="s">
        <v>611</v>
      </c>
      <c r="C214" t="s">
        <v>565</v>
      </c>
      <c r="D214" s="64" t="s">
        <v>570</v>
      </c>
      <c r="E214" s="83"/>
      <c r="G214" s="64"/>
    </row>
    <row r="215" spans="1:7" ht="14.4" customHeight="1" x14ac:dyDescent="0.25">
      <c r="A215" t="s">
        <v>616</v>
      </c>
      <c r="B215" t="s">
        <v>611</v>
      </c>
      <c r="C215" t="s">
        <v>565</v>
      </c>
      <c r="D215" s="64" t="s">
        <v>570</v>
      </c>
      <c r="E215" s="83"/>
      <c r="G215" s="64"/>
    </row>
    <row r="216" spans="1:7" ht="14.4" customHeight="1" x14ac:dyDescent="0.25">
      <c r="D216" s="64"/>
      <c r="E216" s="83"/>
      <c r="G216" s="64"/>
    </row>
    <row r="217" spans="1:7" ht="14.4" customHeight="1" x14ac:dyDescent="0.25">
      <c r="D217" s="64"/>
      <c r="E217" s="83"/>
      <c r="G217" s="64"/>
    </row>
    <row r="218" spans="1:7" ht="14.4" customHeight="1" x14ac:dyDescent="0.25">
      <c r="D218" s="64"/>
      <c r="E218" s="83"/>
      <c r="G218" s="64"/>
    </row>
    <row r="219" spans="1:7" ht="14.4" customHeight="1" x14ac:dyDescent="0.25">
      <c r="D219" s="64"/>
      <c r="E219" s="83"/>
      <c r="G219" s="64"/>
    </row>
    <row r="220" spans="1:7" ht="14.4" customHeight="1" x14ac:dyDescent="0.25">
      <c r="D220" s="64"/>
      <c r="E220" s="83"/>
      <c r="G220" s="64"/>
    </row>
    <row r="221" spans="1:7" ht="14.4" customHeight="1" x14ac:dyDescent="0.25">
      <c r="D221" s="64"/>
      <c r="E221" s="83"/>
      <c r="G221" s="64"/>
    </row>
    <row r="222" spans="1:7" ht="14.4" customHeight="1" x14ac:dyDescent="0.25">
      <c r="D222" s="64"/>
      <c r="E222" s="83"/>
      <c r="G222" s="64"/>
    </row>
    <row r="223" spans="1:7" ht="14.4" customHeight="1" x14ac:dyDescent="0.25">
      <c r="D223" s="64"/>
      <c r="E223" s="83"/>
      <c r="G223" s="64"/>
    </row>
    <row r="224" spans="1: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67:D16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0.82788300000000004</v>
      </c>
      <c r="C4" s="57" t="s">
        <v>36</v>
      </c>
      <c r="D4" s="87">
        <v>0.98480000000000001</v>
      </c>
      <c r="E4" s="57" t="s">
        <v>41</v>
      </c>
      <c r="F4" s="86">
        <v>1.1277999999999999</v>
      </c>
      <c r="G4" s="57" t="s">
        <v>42</v>
      </c>
      <c r="H4" s="86">
        <v>7.3720999999999995E-2</v>
      </c>
      <c r="I4" s="57"/>
      <c r="J4" s="88"/>
    </row>
    <row r="5" spans="1:10" ht="15.75" customHeight="1" x14ac:dyDescent="0.25">
      <c r="A5" s="57" t="s">
        <v>62</v>
      </c>
      <c r="B5" s="86">
        <v>0.51739600000000008</v>
      </c>
      <c r="C5" s="57" t="s">
        <v>63</v>
      </c>
      <c r="D5" s="87">
        <v>0.90429999999999999</v>
      </c>
      <c r="E5" s="57" t="s">
        <v>64</v>
      </c>
      <c r="F5" s="87">
        <v>8.2574000000000005</v>
      </c>
      <c r="G5" s="57" t="s">
        <v>65</v>
      </c>
      <c r="H5" s="86">
        <v>4.4949999999999999E-3</v>
      </c>
      <c r="I5" s="57"/>
      <c r="J5" s="88"/>
    </row>
    <row r="6" spans="1:10" ht="15" customHeight="1" x14ac:dyDescent="0.25">
      <c r="A6" s="57" t="s">
        <v>66</v>
      </c>
      <c r="B6" s="86">
        <v>0.63461800000000002</v>
      </c>
      <c r="C6" s="57" t="s">
        <v>39</v>
      </c>
      <c r="D6" s="89">
        <v>4.9299999999999997E-2</v>
      </c>
      <c r="E6" s="57" t="s">
        <v>67</v>
      </c>
      <c r="F6" s="87">
        <v>21.545200000000001</v>
      </c>
      <c r="G6" s="57" t="s">
        <v>45</v>
      </c>
      <c r="H6" s="86">
        <v>-6.2237000000000001E-2</v>
      </c>
      <c r="I6" s="57"/>
      <c r="J6" s="88"/>
    </row>
    <row r="7" spans="1:10" ht="14.25" customHeight="1" x14ac:dyDescent="0.25">
      <c r="A7" s="57" t="s">
        <v>38</v>
      </c>
      <c r="B7" s="89">
        <v>3.1378130795905381</v>
      </c>
      <c r="C7" s="57" t="s">
        <v>68</v>
      </c>
      <c r="D7" s="89">
        <v>1.268</v>
      </c>
      <c r="E7" s="57" t="s">
        <v>69</v>
      </c>
      <c r="F7" s="87">
        <v>1.972</v>
      </c>
      <c r="G7" s="57" t="s">
        <v>70</v>
      </c>
      <c r="H7" s="86">
        <v>3.2617E-2</v>
      </c>
      <c r="I7" s="57"/>
      <c r="J7" s="88"/>
    </row>
    <row r="8" spans="1:10" x14ac:dyDescent="0.25">
      <c r="A8" s="57"/>
      <c r="B8" s="90"/>
      <c r="C8" s="57"/>
      <c r="D8" s="91"/>
      <c r="E8" s="57" t="s">
        <v>71</v>
      </c>
      <c r="F8" s="87">
        <v>1.0091000000000001</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321.870089748</v>
      </c>
      <c r="C12" s="57" t="s">
        <v>78</v>
      </c>
      <c r="D12" s="89">
        <v>2243.0330293618999</v>
      </c>
      <c r="E12" s="147" t="s">
        <v>79</v>
      </c>
      <c r="F12" s="120"/>
      <c r="G12" s="120"/>
      <c r="H12" s="148">
        <v>2526.2183771728</v>
      </c>
      <c r="I12" s="120"/>
      <c r="J12" s="120"/>
    </row>
    <row r="13" spans="1:10" ht="14.25" customHeight="1" x14ac:dyDescent="0.25">
      <c r="A13" s="57" t="s">
        <v>80</v>
      </c>
      <c r="B13" s="92">
        <v>274.37806895490002</v>
      </c>
      <c r="C13" s="57" t="s">
        <v>81</v>
      </c>
      <c r="D13" s="89">
        <v>2241.5854553651002</v>
      </c>
      <c r="E13" s="147" t="s">
        <v>82</v>
      </c>
      <c r="F13" s="120"/>
      <c r="G13" s="120"/>
      <c r="H13" s="148">
        <v>457.24836018489998</v>
      </c>
      <c r="I13" s="120"/>
      <c r="J13" s="120"/>
    </row>
    <row r="14" spans="1:10" ht="14.25" customHeight="1" x14ac:dyDescent="0.25">
      <c r="A14" s="57" t="s">
        <v>83</v>
      </c>
      <c r="B14" s="92">
        <v>155.2686621668</v>
      </c>
      <c r="C14" s="57" t="s">
        <v>84</v>
      </c>
      <c r="D14" s="89">
        <v>2074.8748492785999</v>
      </c>
      <c r="E14" s="147" t="s">
        <v>85</v>
      </c>
      <c r="F14" s="120"/>
      <c r="G14" s="120"/>
      <c r="H14" s="148">
        <v>2986.6739135546995</v>
      </c>
      <c r="I14" s="120"/>
      <c r="J14" s="120"/>
    </row>
    <row r="15" spans="1:10" ht="14.25" customHeight="1" x14ac:dyDescent="0.25">
      <c r="A15" s="57" t="s">
        <v>86</v>
      </c>
      <c r="B15" s="92">
        <v>443.2579303311</v>
      </c>
      <c r="C15" s="57" t="s">
        <v>87</v>
      </c>
      <c r="D15" s="89">
        <v>25.678664018200003</v>
      </c>
      <c r="E15" s="147" t="s">
        <v>88</v>
      </c>
      <c r="F15" s="120"/>
      <c r="G15" s="120"/>
      <c r="H15" s="148">
        <v>2403.0044994441</v>
      </c>
      <c r="I15" s="120"/>
      <c r="J15" s="120"/>
    </row>
    <row r="16" spans="1:10" ht="14.25" customHeight="1" x14ac:dyDescent="0.25">
      <c r="A16" s="57" t="s">
        <v>89</v>
      </c>
      <c r="B16" s="92">
        <v>236.47935838840002</v>
      </c>
      <c r="C16" s="57" t="s">
        <v>90</v>
      </c>
      <c r="D16" s="89">
        <v>55.284385392299995</v>
      </c>
      <c r="E16" s="147" t="s">
        <v>91</v>
      </c>
      <c r="F16" s="120"/>
      <c r="G16" s="120"/>
      <c r="H16" s="148">
        <v>345.29267778550002</v>
      </c>
      <c r="I16" s="120"/>
      <c r="J16" s="120"/>
    </row>
    <row r="17" spans="1:10" ht="14.25" customHeight="1" x14ac:dyDescent="0.25">
      <c r="A17" s="57" t="s">
        <v>92</v>
      </c>
      <c r="B17" s="92">
        <v>233.43899245540001</v>
      </c>
      <c r="C17" s="57" t="s">
        <v>93</v>
      </c>
      <c r="D17" s="89">
        <v>60.950924244700005</v>
      </c>
      <c r="E17" s="147" t="s">
        <v>94</v>
      </c>
      <c r="F17" s="120"/>
      <c r="G17" s="120"/>
      <c r="H17" s="148">
        <v>2929.6012874727003</v>
      </c>
      <c r="I17" s="120"/>
      <c r="J17" s="120"/>
    </row>
    <row r="18" spans="1:10" ht="14.25" customHeight="1" x14ac:dyDescent="0.25">
      <c r="A18" s="57" t="s">
        <v>95</v>
      </c>
      <c r="B18" s="92">
        <v>2303.9890316948999</v>
      </c>
      <c r="C18" s="57" t="s">
        <v>96</v>
      </c>
      <c r="D18" s="89">
        <v>10.081624506000001</v>
      </c>
      <c r="E18" s="147" t="s">
        <v>97</v>
      </c>
      <c r="F18" s="120"/>
      <c r="G18" s="120"/>
      <c r="H18" s="148">
        <v>57.072626081999999</v>
      </c>
      <c r="I18" s="120"/>
      <c r="J18" s="120"/>
    </row>
    <row r="19" spans="1:10" ht="14.25" customHeight="1" x14ac:dyDescent="0.25">
      <c r="A19" s="57" t="s">
        <v>98</v>
      </c>
      <c r="B19" s="92">
        <v>455.90211557379996</v>
      </c>
      <c r="C19" s="57" t="s">
        <v>99</v>
      </c>
      <c r="D19" s="89">
        <v>15.322582396700001</v>
      </c>
      <c r="E19" s="147" t="s">
        <v>100</v>
      </c>
      <c r="F19" s="120"/>
      <c r="G19" s="120"/>
      <c r="H19" s="148">
        <v>-70.949714315699993</v>
      </c>
      <c r="I19" s="120"/>
      <c r="J19" s="120"/>
    </row>
    <row r="20" spans="1:10" ht="27" customHeight="1" x14ac:dyDescent="0.25">
      <c r="A20" s="57" t="s">
        <v>101</v>
      </c>
      <c r="B20" s="92">
        <v>166.47956011389999</v>
      </c>
      <c r="C20" s="57" t="s">
        <v>43</v>
      </c>
      <c r="D20" s="89">
        <v>1.1656606360999999</v>
      </c>
      <c r="E20" s="147" t="s">
        <v>102</v>
      </c>
      <c r="F20" s="120"/>
      <c r="G20" s="120"/>
      <c r="H20" s="148">
        <v>25.594037</v>
      </c>
      <c r="I20" s="120"/>
      <c r="J20" s="120"/>
    </row>
    <row r="21" spans="1:10" ht="16.5" customHeight="1" x14ac:dyDescent="0.25">
      <c r="A21" s="57" t="s">
        <v>103</v>
      </c>
      <c r="B21" s="92">
        <v>0</v>
      </c>
      <c r="C21" s="57"/>
      <c r="D21" s="93"/>
      <c r="E21" s="147" t="s">
        <v>104</v>
      </c>
      <c r="F21" s="120"/>
      <c r="G21" s="120"/>
      <c r="H21" s="148">
        <v>1013.6847755917</v>
      </c>
      <c r="I21" s="120"/>
      <c r="J21" s="120"/>
    </row>
    <row r="22" spans="1:10" ht="14.25" customHeight="1" x14ac:dyDescent="0.25">
      <c r="A22" s="57" t="s">
        <v>105</v>
      </c>
      <c r="B22" s="92">
        <v>361.41275163400002</v>
      </c>
      <c r="C22" s="57"/>
      <c r="D22" s="93"/>
      <c r="E22" s="147" t="s">
        <v>106</v>
      </c>
      <c r="F22" s="120"/>
      <c r="G22" s="120"/>
      <c r="H22" s="148">
        <v>39.802900000000001</v>
      </c>
      <c r="I22" s="120"/>
      <c r="J22" s="120"/>
    </row>
    <row r="23" spans="1:10" ht="14.25" customHeight="1" x14ac:dyDescent="0.25">
      <c r="A23" s="57" t="s">
        <v>107</v>
      </c>
      <c r="B23" s="92">
        <v>253.39146158810001</v>
      </c>
      <c r="C23" s="57"/>
      <c r="D23" s="93"/>
      <c r="E23" s="147" t="s">
        <v>108</v>
      </c>
      <c r="F23" s="120"/>
      <c r="G23" s="120"/>
      <c r="H23" s="148">
        <v>1141.8470204951</v>
      </c>
      <c r="I23" s="120"/>
      <c r="J23" s="120"/>
    </row>
    <row r="24" spans="1:10" ht="14.25" customHeight="1" x14ac:dyDescent="0.25">
      <c r="A24" s="57" t="s">
        <v>109</v>
      </c>
      <c r="B24" s="92">
        <v>1907.4328028929999</v>
      </c>
      <c r="C24" s="94"/>
      <c r="D24" s="91"/>
      <c r="E24" s="147" t="s">
        <v>110</v>
      </c>
      <c r="F24" s="120"/>
      <c r="G24" s="120"/>
      <c r="H24" s="148">
        <v>928.7385500142999</v>
      </c>
      <c r="I24" s="120"/>
      <c r="J24" s="120"/>
    </row>
    <row r="25" spans="1:10" ht="14.25" customHeight="1" x14ac:dyDescent="0.25">
      <c r="A25" s="57" t="s">
        <v>111</v>
      </c>
      <c r="B25" s="92">
        <v>396.55622880190003</v>
      </c>
      <c r="C25" s="94"/>
      <c r="D25" s="91"/>
      <c r="E25" s="147" t="s">
        <v>112</v>
      </c>
      <c r="F25" s="120"/>
      <c r="G25" s="120"/>
      <c r="H25" s="148">
        <v>1025.857219518</v>
      </c>
      <c r="I25" s="120"/>
      <c r="J25" s="120"/>
    </row>
    <row r="26" spans="1:10" ht="14.25" customHeight="1" x14ac:dyDescent="0.25">
      <c r="A26" s="95" t="s">
        <v>113</v>
      </c>
      <c r="B26" s="92">
        <v>2303.9890316948999</v>
      </c>
      <c r="C26" s="94"/>
      <c r="D26" s="91"/>
      <c r="E26" s="147" t="s">
        <v>114</v>
      </c>
      <c r="F26" s="120"/>
      <c r="G26" s="120"/>
      <c r="H26" s="148">
        <v>115.98980097709999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617</v>
      </c>
      <c r="B1" s="124"/>
      <c r="C1" s="124"/>
      <c r="D1" s="124"/>
      <c r="E1" s="124"/>
      <c r="F1" s="124"/>
      <c r="G1" s="124"/>
      <c r="H1" s="124"/>
      <c r="I1" s="124"/>
    </row>
    <row r="2" spans="1:10" ht="46.5" customHeight="1" x14ac:dyDescent="0.25">
      <c r="A2" s="54" t="s">
        <v>22</v>
      </c>
      <c r="B2" s="43" t="s">
        <v>674</v>
      </c>
      <c r="C2" s="43" t="s">
        <v>618</v>
      </c>
      <c r="D2" s="43" t="s">
        <v>682</v>
      </c>
      <c r="E2" s="43" t="s">
        <v>625</v>
      </c>
      <c r="F2" s="43" t="s">
        <v>683</v>
      </c>
      <c r="G2" s="43" t="s">
        <v>684</v>
      </c>
      <c r="H2" s="43" t="s">
        <v>685</v>
      </c>
      <c r="I2" s="43" t="s">
        <v>686</v>
      </c>
      <c r="J2" s="43" t="s">
        <v>687</v>
      </c>
    </row>
    <row r="3" spans="1:10" x14ac:dyDescent="0.25">
      <c r="A3" s="54" t="s">
        <v>24</v>
      </c>
      <c r="B3" s="97" t="s">
        <v>25</v>
      </c>
      <c r="C3" s="98" t="s">
        <v>576</v>
      </c>
      <c r="D3" s="97" t="s">
        <v>25</v>
      </c>
      <c r="E3" s="97" t="s">
        <v>25</v>
      </c>
      <c r="F3" s="97" t="s">
        <v>25</v>
      </c>
      <c r="G3" s="97" t="s">
        <v>25</v>
      </c>
      <c r="H3" s="97" t="s">
        <v>25</v>
      </c>
      <c r="I3" s="97" t="s">
        <v>25</v>
      </c>
      <c r="J3" s="97" t="s">
        <v>25</v>
      </c>
    </row>
    <row r="4" spans="1:10" s="7" customFormat="1" ht="21.6" x14ac:dyDescent="0.25">
      <c r="A4" s="9" t="s">
        <v>3</v>
      </c>
      <c r="B4" s="99" t="s">
        <v>675</v>
      </c>
      <c r="C4" s="98" t="s">
        <v>576</v>
      </c>
      <c r="D4" s="99" t="s">
        <v>675</v>
      </c>
      <c r="E4" s="99" t="s">
        <v>675</v>
      </c>
      <c r="F4" s="99" t="s">
        <v>675</v>
      </c>
      <c r="G4" s="99" t="s">
        <v>675</v>
      </c>
      <c r="H4" s="99" t="s">
        <v>675</v>
      </c>
      <c r="I4" s="99" t="s">
        <v>675</v>
      </c>
      <c r="J4" s="99" t="s">
        <v>675</v>
      </c>
    </row>
    <row r="5" spans="1:10" s="7" customFormat="1" x14ac:dyDescent="0.25">
      <c r="A5" s="9" t="s">
        <v>29</v>
      </c>
      <c r="B5" s="100" t="s">
        <v>30</v>
      </c>
      <c r="C5" s="98" t="s">
        <v>576</v>
      </c>
      <c r="D5" s="100" t="s">
        <v>30</v>
      </c>
      <c r="E5" s="100" t="s">
        <v>30</v>
      </c>
      <c r="F5" s="100" t="s">
        <v>30</v>
      </c>
      <c r="G5" s="100" t="s">
        <v>30</v>
      </c>
      <c r="H5" s="100" t="s">
        <v>30</v>
      </c>
      <c r="I5" s="100" t="s">
        <v>30</v>
      </c>
      <c r="J5" s="100" t="s">
        <v>30</v>
      </c>
    </row>
    <row r="6" spans="1:10" x14ac:dyDescent="0.25">
      <c r="A6" s="54" t="s">
        <v>32</v>
      </c>
      <c r="B6" s="101">
        <v>2303.9890316948999</v>
      </c>
      <c r="C6" s="98">
        <v>2107.8148539783142</v>
      </c>
      <c r="D6" s="101">
        <v>1420.0951192255</v>
      </c>
      <c r="E6" s="101">
        <v>794.70855290809993</v>
      </c>
      <c r="F6" s="101">
        <v>2621.1132585657001</v>
      </c>
      <c r="G6" s="101">
        <v>2153.8840812865001</v>
      </c>
      <c r="H6" s="101">
        <v>3325.3970940366999</v>
      </c>
      <c r="I6" s="101">
        <v>2877.6959161413001</v>
      </c>
      <c r="J6" s="101">
        <v>1561.8099556843999</v>
      </c>
    </row>
    <row r="7" spans="1:10" x14ac:dyDescent="0.25">
      <c r="A7" s="54" t="s">
        <v>34</v>
      </c>
      <c r="B7" s="44">
        <v>0.82788300000000004</v>
      </c>
      <c r="C7" s="98">
        <v>0.77692528571428565</v>
      </c>
      <c r="D7" s="44">
        <v>0.8000790000000001</v>
      </c>
      <c r="E7" s="44">
        <v>0.70748500000000003</v>
      </c>
      <c r="F7" s="44">
        <v>0.78914100000000009</v>
      </c>
      <c r="G7" s="44">
        <v>0.83549400000000007</v>
      </c>
      <c r="H7" s="44">
        <v>0.79461599999999999</v>
      </c>
      <c r="I7" s="44">
        <v>0.73585899999999993</v>
      </c>
      <c r="J7" s="44">
        <v>0.77580299999999991</v>
      </c>
    </row>
    <row r="8" spans="1:10" x14ac:dyDescent="0.25">
      <c r="A8" s="54" t="s">
        <v>36</v>
      </c>
      <c r="B8" s="101">
        <v>0.98480000000000001</v>
      </c>
      <c r="C8" s="98">
        <v>0.7703714285714286</v>
      </c>
      <c r="D8" s="101">
        <v>0.68200000000000005</v>
      </c>
      <c r="E8" s="101">
        <v>0.877</v>
      </c>
      <c r="F8" s="101">
        <v>0.66590000000000005</v>
      </c>
      <c r="G8" s="101">
        <v>0.5635</v>
      </c>
      <c r="H8" s="101">
        <v>0.88070000000000004</v>
      </c>
      <c r="I8" s="101">
        <v>1.0124</v>
      </c>
      <c r="J8" s="101">
        <v>0.71109999999999995</v>
      </c>
    </row>
    <row r="9" spans="1:10" x14ac:dyDescent="0.25">
      <c r="A9" s="54" t="s">
        <v>38</v>
      </c>
      <c r="B9" s="97">
        <v>3.1378130795905381</v>
      </c>
      <c r="C9" s="98">
        <v>2.3019709158905806</v>
      </c>
      <c r="D9" s="97">
        <v>2.1510145143779673</v>
      </c>
      <c r="E9" s="97">
        <v>1.5379599146659311</v>
      </c>
      <c r="F9" s="97">
        <v>2.5418535799789979</v>
      </c>
      <c r="G9" s="97">
        <v>3.029775480902015</v>
      </c>
      <c r="H9" s="97">
        <v>2.8863166125488671</v>
      </c>
      <c r="I9" s="97">
        <v>1.8815074348153999</v>
      </c>
      <c r="J9" s="97">
        <v>2.0853688739448843</v>
      </c>
    </row>
    <row r="10" spans="1:10" ht="21.6" customHeight="1" x14ac:dyDescent="0.25">
      <c r="A10" s="54" t="s">
        <v>39</v>
      </c>
      <c r="B10" s="101">
        <v>4.9299999999999997E-2</v>
      </c>
      <c r="C10" s="98">
        <v>8.3742857142857147E-2</v>
      </c>
      <c r="D10" s="101">
        <v>7.4700000000000003E-2</v>
      </c>
      <c r="E10" s="101">
        <v>6.54E-2</v>
      </c>
      <c r="F10" s="101">
        <v>0.151</v>
      </c>
      <c r="G10" s="101">
        <v>7.5600000000000001E-2</v>
      </c>
      <c r="H10" s="101">
        <v>4.0500000000000001E-2</v>
      </c>
      <c r="I10" s="101">
        <v>8.7599999999999997E-2</v>
      </c>
      <c r="J10" s="101">
        <v>9.1399999999999995E-2</v>
      </c>
    </row>
    <row r="11" spans="1:10" x14ac:dyDescent="0.25">
      <c r="A11" s="54" t="s">
        <v>40</v>
      </c>
      <c r="B11" s="101">
        <v>2240.0105717624001</v>
      </c>
      <c r="C11" s="98">
        <v>1179.9830801485284</v>
      </c>
      <c r="D11" s="101">
        <v>412.35044218830001</v>
      </c>
      <c r="E11" s="101">
        <v>861.14439167720002</v>
      </c>
      <c r="F11" s="101">
        <v>1029.1762109844001</v>
      </c>
      <c r="G11" s="101">
        <v>1607.2921187608999</v>
      </c>
      <c r="H11" s="101">
        <v>1600.5876847343</v>
      </c>
      <c r="I11" s="101">
        <v>1990.840411831</v>
      </c>
      <c r="J11" s="101">
        <v>758.49030086360005</v>
      </c>
    </row>
    <row r="12" spans="1:10" s="7" customFormat="1" x14ac:dyDescent="0.25">
      <c r="A12" s="9" t="s">
        <v>41</v>
      </c>
      <c r="B12" s="45">
        <v>1.1277999999999999</v>
      </c>
      <c r="C12" s="98">
        <v>1.0576285714285714</v>
      </c>
      <c r="D12" s="45">
        <v>1.0349999999999999</v>
      </c>
      <c r="E12" s="45">
        <v>0.81079999999999997</v>
      </c>
      <c r="F12" s="45">
        <v>1.1795</v>
      </c>
      <c r="G12" s="45">
        <v>0.83460000000000012</v>
      </c>
      <c r="H12" s="45">
        <v>1.2176</v>
      </c>
      <c r="I12" s="45">
        <v>1.2012</v>
      </c>
      <c r="J12" s="45">
        <v>1.1247</v>
      </c>
    </row>
    <row r="13" spans="1:10" s="7" customFormat="1" x14ac:dyDescent="0.25">
      <c r="A13" s="9" t="s">
        <v>42</v>
      </c>
      <c r="B13" s="45">
        <v>7.3720999999999995E-2</v>
      </c>
      <c r="C13" s="98">
        <v>0.15843442857142856</v>
      </c>
      <c r="D13" s="45">
        <v>0.218198</v>
      </c>
      <c r="E13" s="45">
        <v>6.3847000000000001E-2</v>
      </c>
      <c r="F13" s="45">
        <v>0.14080700000000002</v>
      </c>
      <c r="G13" s="45">
        <v>0.11524</v>
      </c>
      <c r="H13" s="45">
        <v>0.17169399999999999</v>
      </c>
      <c r="I13" s="45">
        <v>0.157585</v>
      </c>
      <c r="J13" s="45">
        <v>0.24167000000000002</v>
      </c>
    </row>
    <row r="14" spans="1:10" s="7" customFormat="1" x14ac:dyDescent="0.25">
      <c r="A14" s="9" t="s">
        <v>43</v>
      </c>
      <c r="B14" s="102">
        <v>1.1656606360999999</v>
      </c>
      <c r="C14" s="98">
        <v>7.764885066342857</v>
      </c>
      <c r="D14" s="102">
        <v>11.664812079200001</v>
      </c>
      <c r="E14" s="102">
        <v>0.34686421249999999</v>
      </c>
      <c r="F14" s="102">
        <v>7.2778195397000003</v>
      </c>
      <c r="G14" s="102">
        <v>1.6266281182</v>
      </c>
      <c r="H14" s="102">
        <v>0.39900776999999998</v>
      </c>
      <c r="I14" s="102">
        <v>19.657794414200001</v>
      </c>
      <c r="J14" s="102">
        <v>13.381269330599999</v>
      </c>
    </row>
    <row r="15" spans="1:10" x14ac:dyDescent="0.25">
      <c r="A15" s="54" t="s">
        <v>45</v>
      </c>
      <c r="B15" s="44">
        <v>-6.2237000000000001E-2</v>
      </c>
      <c r="C15" s="98">
        <v>-1.8285428571428571E-2</v>
      </c>
      <c r="D15" s="44">
        <v>3.5980000000000001E-3</v>
      </c>
      <c r="E15" s="44">
        <v>-2.3736999999999998E-2</v>
      </c>
      <c r="F15" s="44">
        <v>-3.6240000000000001E-3</v>
      </c>
      <c r="G15" s="44">
        <v>-5.5087000000000004E-2</v>
      </c>
      <c r="H15" s="44">
        <v>1.3364000000000001E-2</v>
      </c>
      <c r="I15" s="44">
        <v>-0.119932</v>
      </c>
      <c r="J15" s="44">
        <v>5.7419999999999999E-2</v>
      </c>
    </row>
    <row r="16" spans="1:10" s="7" customFormat="1" ht="25.8" customHeight="1" x14ac:dyDescent="0.25">
      <c r="A16" s="9" t="s">
        <v>46</v>
      </c>
      <c r="B16" s="102">
        <v>57.072626081999999</v>
      </c>
      <c r="C16" s="98">
        <v>93.650343788357148</v>
      </c>
      <c r="D16" s="102">
        <v>83.412336296199996</v>
      </c>
      <c r="E16" s="102">
        <v>34.865705461600001</v>
      </c>
      <c r="F16" s="102">
        <v>58.973768185399997</v>
      </c>
      <c r="G16" s="102">
        <v>46.541765145200003</v>
      </c>
      <c r="H16" s="102">
        <v>152.5682597103</v>
      </c>
      <c r="I16" s="102">
        <v>125.91412250469999</v>
      </c>
      <c r="J16" s="102">
        <v>153.2764492151</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619</v>
      </c>
      <c r="B1" s="124"/>
      <c r="C1" s="124"/>
      <c r="D1" s="124"/>
      <c r="E1" s="124"/>
      <c r="F1" s="124"/>
    </row>
    <row r="2" spans="1:6" x14ac:dyDescent="0.25">
      <c r="A2" s="51" t="s">
        <v>620</v>
      </c>
      <c r="B2" s="50" t="s">
        <v>621</v>
      </c>
      <c r="C2" s="50" t="s">
        <v>622</v>
      </c>
      <c r="D2" s="50" t="s">
        <v>623</v>
      </c>
      <c r="E2" s="50" t="s">
        <v>563</v>
      </c>
      <c r="F2" s="50" t="s">
        <v>624</v>
      </c>
    </row>
    <row r="3" spans="1:6" ht="48" customHeight="1" x14ac:dyDescent="0.25">
      <c r="A3" s="104">
        <v>43462</v>
      </c>
      <c r="B3" s="52" t="s">
        <v>625</v>
      </c>
      <c r="C3" s="105" t="s">
        <v>626</v>
      </c>
      <c r="D3" s="105"/>
      <c r="E3" s="52" t="s">
        <v>627</v>
      </c>
      <c r="F3" s="105" t="s">
        <v>628</v>
      </c>
    </row>
    <row r="4" spans="1:6" ht="49.5" customHeight="1" x14ac:dyDescent="0.25">
      <c r="A4" s="104">
        <v>43427</v>
      </c>
      <c r="B4" s="52" t="s">
        <v>629</v>
      </c>
      <c r="C4" s="105" t="s">
        <v>630</v>
      </c>
      <c r="D4" s="105"/>
      <c r="E4" s="52" t="s">
        <v>627</v>
      </c>
      <c r="F4" s="105" t="s">
        <v>631</v>
      </c>
    </row>
    <row r="5" spans="1:6" ht="34.200000000000003" x14ac:dyDescent="0.25">
      <c r="A5" s="104">
        <v>43285</v>
      </c>
      <c r="B5" s="52" t="s">
        <v>632</v>
      </c>
      <c r="C5" s="105"/>
      <c r="D5" s="105" t="s">
        <v>633</v>
      </c>
      <c r="E5" s="52" t="s">
        <v>606</v>
      </c>
      <c r="F5" s="105" t="s">
        <v>634</v>
      </c>
    </row>
    <row r="6" spans="1:6" ht="34.200000000000003" x14ac:dyDescent="0.25">
      <c r="A6" s="104">
        <v>43256</v>
      </c>
      <c r="B6" s="52" t="s">
        <v>635</v>
      </c>
      <c r="C6" s="105"/>
      <c r="D6" s="105" t="s">
        <v>633</v>
      </c>
      <c r="E6" s="52" t="s">
        <v>636</v>
      </c>
      <c r="F6" s="105" t="s">
        <v>637</v>
      </c>
    </row>
    <row r="7" spans="1:6" ht="79.8" x14ac:dyDescent="0.25">
      <c r="A7" s="104">
        <v>43242</v>
      </c>
      <c r="B7" s="52" t="s">
        <v>638</v>
      </c>
      <c r="C7" s="105" t="s">
        <v>630</v>
      </c>
      <c r="D7" s="105"/>
      <c r="E7" s="52" t="s">
        <v>570</v>
      </c>
      <c r="F7" s="105" t="s">
        <v>639</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640</v>
      </c>
      <c r="B23" s="143"/>
      <c r="C23" s="143"/>
      <c r="D23" s="143"/>
      <c r="E23" s="143"/>
      <c r="F23" s="143"/>
    </row>
    <row r="24" spans="1:6" x14ac:dyDescent="0.25">
      <c r="A24" s="84" t="s">
        <v>620</v>
      </c>
      <c r="B24" s="84" t="s">
        <v>621</v>
      </c>
      <c r="C24" s="84" t="s">
        <v>641</v>
      </c>
      <c r="D24" s="84" t="s">
        <v>642</v>
      </c>
      <c r="E24" s="84" t="s">
        <v>563</v>
      </c>
      <c r="F24" s="84" t="s">
        <v>624</v>
      </c>
    </row>
    <row r="25" spans="1:6" x14ac:dyDescent="0.25">
      <c r="A25" s="107">
        <v>43516</v>
      </c>
      <c r="B25" s="58" t="s">
        <v>643</v>
      </c>
      <c r="C25" s="108" t="s">
        <v>644</v>
      </c>
      <c r="D25" s="108"/>
      <c r="E25" s="58" t="s">
        <v>570</v>
      </c>
      <c r="F25" s="108" t="s">
        <v>645</v>
      </c>
    </row>
    <row r="26" spans="1:6" x14ac:dyDescent="0.25">
      <c r="A26" s="107">
        <v>43287</v>
      </c>
      <c r="B26" s="58" t="s">
        <v>646</v>
      </c>
      <c r="C26" s="108" t="s">
        <v>647</v>
      </c>
      <c r="D26" s="108"/>
      <c r="E26" s="58" t="s">
        <v>594</v>
      </c>
      <c r="F26" s="108" t="s">
        <v>648</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649</v>
      </c>
      <c r="B1" s="124"/>
      <c r="C1" s="124"/>
      <c r="D1" s="124"/>
      <c r="E1" s="124"/>
      <c r="F1" s="124"/>
      <c r="G1" s="124"/>
      <c r="H1" s="124"/>
      <c r="I1" s="124"/>
      <c r="J1" s="124"/>
      <c r="K1" s="124"/>
      <c r="L1" s="124"/>
      <c r="M1" s="124"/>
      <c r="N1" s="124"/>
    </row>
    <row r="2" spans="1:18" s="1" customFormat="1" ht="25.5" customHeight="1" x14ac:dyDescent="0.25">
      <c r="A2" s="55" t="s">
        <v>650</v>
      </c>
      <c r="B2" s="55" t="s">
        <v>651</v>
      </c>
      <c r="C2" s="55" t="s">
        <v>652</v>
      </c>
      <c r="D2" s="55" t="s">
        <v>653</v>
      </c>
      <c r="E2" s="55" t="s">
        <v>654</v>
      </c>
      <c r="F2" s="55" t="s">
        <v>655</v>
      </c>
      <c r="G2" s="55" t="s">
        <v>656</v>
      </c>
      <c r="H2" s="55" t="s">
        <v>16</v>
      </c>
      <c r="I2" s="55" t="s">
        <v>657</v>
      </c>
      <c r="J2" s="55" t="s">
        <v>658</v>
      </c>
      <c r="K2" s="55" t="s">
        <v>659</v>
      </c>
      <c r="L2" s="55" t="s">
        <v>660</v>
      </c>
      <c r="M2" s="55" t="s">
        <v>19</v>
      </c>
      <c r="N2" s="55" t="s">
        <v>661</v>
      </c>
      <c r="O2" s="3"/>
      <c r="P2" s="110" t="str">
        <f ca="1">Q2</f>
        <v>2019-04-15</v>
      </c>
      <c r="Q2" s="1" t="str">
        <f ca="1">[1]!td(R2-1)</f>
        <v>2019-04-15</v>
      </c>
      <c r="R2" s="3">
        <f ca="1">TODAY()</f>
        <v>43571</v>
      </c>
    </row>
    <row r="3" spans="1:18" ht="15.75" customHeight="1" x14ac:dyDescent="0.25">
      <c r="A3" s="111" t="str">
        <f>[1]!b_info_name(L3)</f>
        <v>19冀中能源CP005</v>
      </c>
      <c r="B3" s="2" t="str">
        <f>[1]!b_issue_firstissue(L3)</f>
        <v>2019-04-17</v>
      </c>
      <c r="C3" s="111">
        <f>[1]!b_info_term(L3)</f>
        <v>1</v>
      </c>
      <c r="D3" s="112" t="str">
        <f>[1]!issuerrating(L3)</f>
        <v>AAA</v>
      </c>
      <c r="E3" s="112" t="str">
        <f>[1]!b_info_creditrating(L3)</f>
        <v>A-1</v>
      </c>
      <c r="F3" s="111" t="str">
        <f>[1]!b_rate_creditratingagency(L3)</f>
        <v>东方金诚国际信用评估有限公司</v>
      </c>
      <c r="G3" s="113">
        <f>[1]!b_agency_guarantor(L3)</f>
        <v>0</v>
      </c>
      <c r="H3" s="114" t="s">
        <v>662</v>
      </c>
      <c r="I3" s="66"/>
      <c r="J3" s="115" t="s">
        <v>662</v>
      </c>
      <c r="K3" s="116"/>
      <c r="L3" s="41" t="str">
        <f>公式页!A2</f>
        <v>d19041503.IB</v>
      </c>
      <c r="M3" s="114" t="s">
        <v>662</v>
      </c>
      <c r="N3" s="111" t="str">
        <f>[1]!b_agency_leadunderwriter(L3)</f>
        <v>中信银行股份有限公司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663</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664</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650</v>
      </c>
      <c r="B13" s="55" t="s">
        <v>651</v>
      </c>
      <c r="C13" s="55" t="s">
        <v>652</v>
      </c>
      <c r="D13" s="55" t="s">
        <v>653</v>
      </c>
      <c r="E13" s="55" t="s">
        <v>654</v>
      </c>
      <c r="F13" s="55" t="s">
        <v>655</v>
      </c>
      <c r="G13" s="55" t="s">
        <v>656</v>
      </c>
      <c r="H13" s="55" t="s">
        <v>16</v>
      </c>
      <c r="I13" s="55" t="s">
        <v>657</v>
      </c>
      <c r="J13" s="55" t="s">
        <v>658</v>
      </c>
      <c r="K13" s="55" t="s">
        <v>659</v>
      </c>
      <c r="L13" s="55" t="s">
        <v>660</v>
      </c>
      <c r="M13" s="55" t="s">
        <v>19</v>
      </c>
      <c r="N13" s="55" t="s">
        <v>661</v>
      </c>
      <c r="P13" s="109" t="str">
        <f t="shared" ca="1" si="0"/>
        <v>2019-04-15</v>
      </c>
    </row>
    <row r="14" spans="1:18" ht="15.75" customHeight="1" x14ac:dyDescent="0.25">
      <c r="A14" s="111" t="str">
        <f>[1]!b_info_name(L14)</f>
        <v>19冀中能源CP005</v>
      </c>
      <c r="B14" s="2" t="str">
        <f>[1]!b_issue_firstissue(L14)</f>
        <v>2019-04-17</v>
      </c>
      <c r="C14" s="111">
        <f>[1]!b_info_term(L14)</f>
        <v>1</v>
      </c>
      <c r="D14" s="112" t="str">
        <f>[1]!issuerrating(L14)</f>
        <v>AAA</v>
      </c>
      <c r="E14" s="112" t="str">
        <f>[1]!b_info_creditrating(L14)</f>
        <v>A-1</v>
      </c>
      <c r="F14" s="111" t="str">
        <f>[1]!b_rate_creditratingagency(L14)</f>
        <v>东方金诚国际信用评估有限公司</v>
      </c>
      <c r="G14" s="113">
        <f>[1]!b_agency_guarantor(L14)</f>
        <v>0</v>
      </c>
      <c r="H14" s="114" t="s">
        <v>662</v>
      </c>
      <c r="I14" s="66"/>
      <c r="J14" s="115" t="s">
        <v>662</v>
      </c>
      <c r="K14" s="116">
        <f>K3</f>
        <v>0</v>
      </c>
      <c r="L14" s="42" t="str">
        <f>L3</f>
        <v>d19041503.IB</v>
      </c>
      <c r="M14" s="114" t="s">
        <v>662</v>
      </c>
      <c r="N14" s="111" t="str">
        <f>[1]!b_agency_leadunderwriter(L14)</f>
        <v>中信银行股份有限公司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665</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666</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667</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668</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669</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670</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671</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672</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673</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2019-04-16T08:21:57Z</dcterms:modified>
</cp:coreProperties>
</file>