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70559677-7F8A-40C1-9E81-9BD0AA0F9F91}"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G23" i="6"/>
  <c r="D22" i="6"/>
  <c r="F20" i="6"/>
  <c r="C19" i="6"/>
  <c r="E17" i="6"/>
  <c r="B16" i="6"/>
  <c r="N14" i="6"/>
  <c r="G9" i="6"/>
  <c r="D8" i="6"/>
  <c r="B6" i="6"/>
  <c r="N4" i="6"/>
  <c r="B3" i="6"/>
  <c r="F22" i="6"/>
  <c r="C21" i="6"/>
  <c r="E19" i="6"/>
  <c r="B18" i="6"/>
  <c r="O16" i="6"/>
  <c r="A15" i="6"/>
  <c r="F8" i="6"/>
  <c r="C7" i="6"/>
  <c r="E5" i="6"/>
  <c r="D3" i="6"/>
  <c r="O21" i="6"/>
  <c r="N18" i="6"/>
  <c r="M15" i="6"/>
  <c r="G8" i="6"/>
  <c r="H5" i="6"/>
  <c r="M141" i="1"/>
  <c r="M134" i="1"/>
  <c r="M128" i="1"/>
  <c r="D112" i="1"/>
  <c r="L103" i="1"/>
  <c r="G101" i="1"/>
  <c r="E100" i="1"/>
  <c r="C99" i="1"/>
  <c r="R97" i="1"/>
  <c r="H23" i="6"/>
  <c r="G20" i="6"/>
  <c r="F17" i="6"/>
  <c r="E14" i="6"/>
  <c r="B7" i="6"/>
  <c r="E4" i="6"/>
  <c r="S136" i="1"/>
  <c r="M131" i="1"/>
  <c r="S112" i="1"/>
  <c r="O103" i="1"/>
  <c r="M101" i="1"/>
  <c r="J100" i="1"/>
  <c r="F99" i="1"/>
  <c r="D98" i="1"/>
  <c r="H21" i="6"/>
  <c r="F15" i="6"/>
  <c r="F7" i="6"/>
  <c r="E3" i="6"/>
  <c r="O129" i="1"/>
  <c r="G102" i="1"/>
  <c r="C100" i="1"/>
  <c r="P97" i="1"/>
  <c r="G96" i="1"/>
  <c r="C94" i="1"/>
  <c r="E91" i="1"/>
  <c r="G88" i="1"/>
  <c r="C86" i="1"/>
  <c r="E83" i="1"/>
  <c r="G80" i="1"/>
  <c r="C78" i="1"/>
  <c r="E75" i="1"/>
  <c r="G72" i="1"/>
  <c r="C70" i="1"/>
  <c r="E67" i="1"/>
  <c r="G64" i="1"/>
  <c r="C62" i="1"/>
  <c r="E59" i="1"/>
  <c r="G56" i="1"/>
  <c r="C54" i="1"/>
  <c r="E51" i="1"/>
  <c r="G48" i="1"/>
  <c r="C46" i="1"/>
  <c r="E43" i="1"/>
  <c r="G40" i="1"/>
  <c r="C38" i="1"/>
  <c r="E35" i="1"/>
  <c r="G32" i="1"/>
  <c r="C30" i="1"/>
  <c r="R28" i="1"/>
  <c r="P27" i="1"/>
  <c r="N26" i="1"/>
  <c r="L25" i="1"/>
  <c r="G24" i="1"/>
  <c r="E23" i="1"/>
  <c r="L21" i="1"/>
  <c r="G20" i="1"/>
  <c r="E19" i="1"/>
  <c r="L17" i="1"/>
  <c r="G16" i="1"/>
  <c r="E15" i="1"/>
  <c r="F8" i="1"/>
  <c r="B10" i="1"/>
  <c r="N9" i="6"/>
  <c r="M132" i="1"/>
  <c r="R100" i="1"/>
  <c r="F21" i="6"/>
  <c r="D15" i="6"/>
  <c r="E6" i="6"/>
  <c r="S135" i="1"/>
  <c r="M120" i="1"/>
  <c r="F110" i="1"/>
  <c r="D101" i="1"/>
  <c r="Q98" i="1"/>
  <c r="Q96" i="1"/>
  <c r="D95" i="1"/>
  <c r="F92" i="1"/>
  <c r="B90" i="1"/>
  <c r="D87" i="1"/>
  <c r="F84" i="1"/>
  <c r="B82" i="1"/>
  <c r="D79" i="1"/>
  <c r="F76" i="1"/>
  <c r="B74" i="1"/>
  <c r="D71" i="1"/>
  <c r="F68" i="1"/>
  <c r="B66" i="1"/>
  <c r="D63" i="1"/>
  <c r="F60" i="1"/>
  <c r="B58" i="1"/>
  <c r="D55" i="1"/>
  <c r="F52" i="1"/>
  <c r="C23" i="6"/>
  <c r="E21" i="6"/>
  <c r="B20" i="6"/>
  <c r="O18" i="6"/>
  <c r="A17" i="6"/>
  <c r="N15" i="6"/>
  <c r="F14" i="6"/>
  <c r="C9" i="6"/>
  <c r="E7" i="6"/>
  <c r="M5" i="6"/>
  <c r="H4" i="6"/>
  <c r="E23" i="6"/>
  <c r="B22" i="6"/>
  <c r="O20" i="6"/>
  <c r="A19" i="6"/>
  <c r="N17" i="6"/>
  <c r="H16" i="6"/>
  <c r="D14" i="6"/>
  <c r="B8" i="6"/>
  <c r="N6" i="6"/>
  <c r="A5" i="6"/>
  <c r="M23" i="6"/>
  <c r="D21" i="6"/>
  <c r="C18" i="6"/>
  <c r="B15" i="6"/>
  <c r="N7" i="6"/>
  <c r="G4" i="6"/>
  <c r="M139" i="1"/>
  <c r="S132" i="1"/>
  <c r="O127" i="1"/>
  <c r="S110" i="1"/>
  <c r="E102" i="1"/>
  <c r="C101" i="1"/>
  <c r="R99" i="1"/>
  <c r="P98" i="1"/>
  <c r="N97" i="1"/>
  <c r="E22" i="6"/>
  <c r="O19" i="6"/>
  <c r="N16" i="6"/>
  <c r="F9" i="6"/>
  <c r="A6" i="6"/>
  <c r="A3" i="6"/>
  <c r="M135" i="1"/>
  <c r="O130" i="1"/>
  <c r="F111" i="1"/>
  <c r="J103" i="1"/>
  <c r="F101" i="1"/>
  <c r="D100" i="1"/>
  <c r="B99" i="1"/>
  <c r="Q97" i="1"/>
  <c r="E20" i="6"/>
  <c r="C14" i="6"/>
  <c r="G6" i="6"/>
  <c r="M140" i="1"/>
  <c r="S111" i="1"/>
  <c r="P101" i="1"/>
  <c r="L99" i="1"/>
  <c r="F97" i="1"/>
  <c r="C96" i="1"/>
  <c r="E93" i="1"/>
  <c r="G90" i="1"/>
  <c r="C88" i="1"/>
  <c r="E85" i="1"/>
  <c r="G82" i="1"/>
  <c r="O22" i="6"/>
  <c r="A21" i="6"/>
  <c r="N19" i="6"/>
  <c r="H18" i="6"/>
  <c r="M16" i="6"/>
  <c r="G15" i="6"/>
  <c r="B14" i="6"/>
  <c r="N8" i="6"/>
  <c r="A7" i="6"/>
  <c r="G5" i="6"/>
  <c r="D4" i="6"/>
  <c r="A23" i="6"/>
  <c r="N21" i="6"/>
  <c r="H20" i="6"/>
  <c r="M18" i="6"/>
  <c r="G17" i="6"/>
  <c r="D16" i="6"/>
  <c r="E9" i="6"/>
  <c r="M7" i="6"/>
  <c r="H6" i="6"/>
  <c r="F4" i="6"/>
  <c r="B23" i="6"/>
  <c r="A20" i="6"/>
  <c r="H17" i="6"/>
  <c r="G14" i="6"/>
  <c r="D7" i="6"/>
  <c r="N3" i="6"/>
  <c r="M137" i="1"/>
  <c r="O131" i="1"/>
  <c r="M123" i="1"/>
  <c r="D110" i="1"/>
  <c r="R101" i="1"/>
  <c r="P100" i="1"/>
  <c r="N99" i="1"/>
  <c r="L98" i="1"/>
  <c r="G97" i="1"/>
  <c r="M21" i="6"/>
  <c r="D19" i="6"/>
  <c r="C16" i="6"/>
  <c r="M8" i="6"/>
  <c r="F5" i="6"/>
  <c r="S140" i="1"/>
  <c r="S133" i="1"/>
  <c r="S129" i="1"/>
  <c r="M110" i="1"/>
  <c r="D102" i="1"/>
  <c r="B101" i="1"/>
  <c r="Q99" i="1"/>
  <c r="O98" i="1"/>
  <c r="M97" i="1"/>
  <c r="B19" i="6"/>
  <c r="D9" i="6"/>
  <c r="D5" i="6"/>
  <c r="M136" i="1"/>
  <c r="D109" i="1"/>
  <c r="E101" i="1"/>
  <c r="R98" i="1"/>
  <c r="R96" i="1"/>
  <c r="E95" i="1"/>
  <c r="G92" i="1"/>
  <c r="C90" i="1"/>
  <c r="E87" i="1"/>
  <c r="G84" i="1"/>
  <c r="C82" i="1"/>
  <c r="E79" i="1"/>
  <c r="G76" i="1"/>
  <c r="C74" i="1"/>
  <c r="E71" i="1"/>
  <c r="G68" i="1"/>
  <c r="C66" i="1"/>
  <c r="E63" i="1"/>
  <c r="G60" i="1"/>
  <c r="C58" i="1"/>
  <c r="E55" i="1"/>
  <c r="G52" i="1"/>
  <c r="C50" i="1"/>
  <c r="E47" i="1"/>
  <c r="G44" i="1"/>
  <c r="C42" i="1"/>
  <c r="E39" i="1"/>
  <c r="G36" i="1"/>
  <c r="C34" i="1"/>
  <c r="E31" i="1"/>
  <c r="L29" i="1"/>
  <c r="G28" i="1"/>
  <c r="E27" i="1"/>
  <c r="C26" i="1"/>
  <c r="R24" i="1"/>
  <c r="P23" i="1"/>
  <c r="C22" i="1"/>
  <c r="R20" i="1"/>
  <c r="P19" i="1"/>
  <c r="C18" i="1"/>
  <c r="R16" i="1"/>
  <c r="P15" i="1"/>
  <c r="C14" i="1"/>
  <c r="B4" i="1"/>
  <c r="C22" i="6"/>
  <c r="Q2" i="6"/>
  <c r="S109" i="1"/>
  <c r="N98" i="1"/>
  <c r="M17" i="6"/>
  <c r="B9" i="6"/>
  <c r="A4" i="6"/>
  <c r="M129" i="1"/>
  <c r="M116" i="1"/>
  <c r="F102" i="1"/>
  <c r="B100" i="1"/>
  <c r="O97" i="1"/>
  <c r="F96" i="1"/>
  <c r="B94" i="1"/>
  <c r="D91" i="1"/>
  <c r="F88" i="1"/>
  <c r="B86" i="1"/>
  <c r="D83" i="1"/>
  <c r="F80" i="1"/>
  <c r="B78" i="1"/>
  <c r="D75" i="1"/>
  <c r="F72" i="1"/>
  <c r="B70" i="1"/>
  <c r="D67" i="1"/>
  <c r="F64" i="1"/>
  <c r="B62" i="1"/>
  <c r="D59" i="1"/>
  <c r="F56" i="1"/>
  <c r="B54" i="1"/>
  <c r="D51" i="1"/>
  <c r="N23" i="6"/>
  <c r="D18" i="6"/>
  <c r="H8" i="6"/>
  <c r="M22" i="6"/>
  <c r="C17" i="6"/>
  <c r="D6" i="6"/>
  <c r="E16" i="6"/>
  <c r="O135" i="1"/>
  <c r="N101" i="1"/>
  <c r="C97" i="1"/>
  <c r="E8" i="6"/>
  <c r="M127" i="1"/>
  <c r="M99" i="1"/>
  <c r="C8" i="6"/>
  <c r="N100" i="1"/>
  <c r="C92" i="1"/>
  <c r="E81" i="1"/>
  <c r="C76" i="1"/>
  <c r="G70" i="1"/>
  <c r="E65" i="1"/>
  <c r="C60" i="1"/>
  <c r="G54" i="1"/>
  <c r="E49" i="1"/>
  <c r="C44" i="1"/>
  <c r="G38" i="1"/>
  <c r="E33" i="1"/>
  <c r="E29" i="1"/>
  <c r="R26" i="1"/>
  <c r="N24" i="1"/>
  <c r="P21" i="1"/>
  <c r="L19" i="1"/>
  <c r="N16" i="1"/>
  <c r="F10" i="1"/>
  <c r="A16" i="6"/>
  <c r="C102" i="1"/>
  <c r="G16" i="6"/>
  <c r="S139" i="1"/>
  <c r="M111" i="1"/>
  <c r="J99" i="1"/>
  <c r="B96" i="1"/>
  <c r="F90" i="1"/>
  <c r="D85" i="1"/>
  <c r="B80" i="1"/>
  <c r="F74" i="1"/>
  <c r="D69" i="1"/>
  <c r="B64" i="1"/>
  <c r="F58" i="1"/>
  <c r="D53" i="1"/>
  <c r="D49" i="1"/>
  <c r="F46" i="1"/>
  <c r="B44" i="1"/>
  <c r="D41" i="1"/>
  <c r="F38" i="1"/>
  <c r="B36" i="1"/>
  <c r="D33" i="1"/>
  <c r="F30" i="1"/>
  <c r="D29" i="1"/>
  <c r="B28" i="1"/>
  <c r="Q26" i="1"/>
  <c r="O25" i="1"/>
  <c r="M24" i="1"/>
  <c r="J23" i="1"/>
  <c r="O21" i="1"/>
  <c r="M20" i="1"/>
  <c r="J19" i="1"/>
  <c r="O17" i="1"/>
  <c r="M16" i="1"/>
  <c r="J15" i="1"/>
  <c r="F23" i="6"/>
  <c r="N5" i="6"/>
  <c r="N103" i="1"/>
  <c r="D23" i="6"/>
  <c r="Q100" i="1"/>
  <c r="D96" i="1"/>
  <c r="B91" i="1"/>
  <c r="F85" i="1"/>
  <c r="D80" i="1"/>
  <c r="B75" i="1"/>
  <c r="F69" i="1"/>
  <c r="D64" i="1"/>
  <c r="B59" i="1"/>
  <c r="F53" i="1"/>
  <c r="D48" i="1"/>
  <c r="B43" i="1"/>
  <c r="F37" i="1"/>
  <c r="D32" i="1"/>
  <c r="O28" i="1"/>
  <c r="J26" i="1"/>
  <c r="D24" i="1"/>
  <c r="F21" i="1"/>
  <c r="B19" i="1"/>
  <c r="D16" i="1"/>
  <c r="B7" i="1"/>
  <c r="N17" i="1"/>
  <c r="B5" i="1"/>
  <c r="O99" i="1"/>
  <c r="D90" i="1"/>
  <c r="D78" i="1"/>
  <c r="B69" i="1"/>
  <c r="B61" i="1"/>
  <c r="B49" i="1"/>
  <c r="F39" i="1"/>
  <c r="B29" i="1"/>
  <c r="Q23" i="1"/>
  <c r="F19" i="1"/>
  <c r="B9" i="1"/>
  <c r="P96" i="1"/>
  <c r="G85" i="1"/>
  <c r="C75" i="1"/>
  <c r="G65" i="1"/>
  <c r="C55" i="1"/>
  <c r="E44" i="1"/>
  <c r="G33" i="1"/>
  <c r="C27" i="1"/>
  <c r="C23" i="1"/>
  <c r="R17" i="1"/>
  <c r="A22" i="6"/>
  <c r="M121" i="1"/>
  <c r="D97" i="1"/>
  <c r="C93" i="1"/>
  <c r="G87" i="1"/>
  <c r="E82" i="1"/>
  <c r="C77" i="1"/>
  <c r="G71" i="1"/>
  <c r="E66" i="1"/>
  <c r="C61" i="1"/>
  <c r="G55" i="1"/>
  <c r="E50" i="1"/>
  <c r="H22" i="6"/>
  <c r="F16" i="6"/>
  <c r="F6" i="6"/>
  <c r="G21" i="6"/>
  <c r="E15" i="6"/>
  <c r="B4" i="6"/>
  <c r="H9" i="6"/>
  <c r="S130" i="1"/>
  <c r="L100" i="1"/>
  <c r="B21" i="6"/>
  <c r="M4" i="6"/>
  <c r="F109" i="1"/>
  <c r="J98" i="1"/>
  <c r="C4" i="6"/>
  <c r="G98" i="1"/>
  <c r="E89" i="1"/>
  <c r="C80" i="1"/>
  <c r="G74" i="1"/>
  <c r="E69" i="1"/>
  <c r="C64" i="1"/>
  <c r="G58" i="1"/>
  <c r="E53" i="1"/>
  <c r="C48" i="1"/>
  <c r="G42" i="1"/>
  <c r="E37" i="1"/>
  <c r="C32" i="1"/>
  <c r="N28" i="1"/>
  <c r="G26" i="1"/>
  <c r="C24" i="1"/>
  <c r="E21" i="1"/>
  <c r="G18" i="1"/>
  <c r="C16" i="1"/>
  <c r="B6" i="1"/>
  <c r="M6" i="6"/>
  <c r="P99" i="1"/>
  <c r="A14" i="6"/>
  <c r="M133" i="1"/>
  <c r="Q103" i="1"/>
  <c r="F98" i="1"/>
  <c r="F94" i="1"/>
  <c r="D89" i="1"/>
  <c r="B84" i="1"/>
  <c r="F78" i="1"/>
  <c r="D73" i="1"/>
  <c r="B68" i="1"/>
  <c r="F62" i="1"/>
  <c r="D57" i="1"/>
  <c r="B52" i="1"/>
  <c r="F48" i="1"/>
  <c r="B46" i="1"/>
  <c r="D43" i="1"/>
  <c r="F40" i="1"/>
  <c r="B38" i="1"/>
  <c r="D35" i="1"/>
  <c r="F32" i="1"/>
  <c r="B30" i="1"/>
  <c r="Q28" i="1"/>
  <c r="O27" i="1"/>
  <c r="M26" i="1"/>
  <c r="J25" i="1"/>
  <c r="F24" i="1"/>
  <c r="D23" i="1"/>
  <c r="J21" i="1"/>
  <c r="F20" i="1"/>
  <c r="D19" i="1"/>
  <c r="J17" i="1"/>
  <c r="F16" i="1"/>
  <c r="D15" i="1"/>
  <c r="M19" i="6"/>
  <c r="S134" i="1"/>
  <c r="L101" i="1"/>
  <c r="E18" i="6"/>
  <c r="M98" i="1"/>
  <c r="B95" i="1"/>
  <c r="F89" i="1"/>
  <c r="D84" i="1"/>
  <c r="B79" i="1"/>
  <c r="F73" i="1"/>
  <c r="D68" i="1"/>
  <c r="B63" i="1"/>
  <c r="F57" i="1"/>
  <c r="D52" i="1"/>
  <c r="B47" i="1"/>
  <c r="F41" i="1"/>
  <c r="D36" i="1"/>
  <c r="B31" i="1"/>
  <c r="D28" i="1"/>
  <c r="Q25" i="1"/>
  <c r="M23" i="1"/>
  <c r="O20" i="1"/>
  <c r="Q17" i="1"/>
  <c r="M15" i="1"/>
  <c r="E22" i="1"/>
  <c r="L16" i="1"/>
  <c r="N20" i="6"/>
  <c r="B97" i="1"/>
  <c r="F87" i="1"/>
  <c r="F75" i="1"/>
  <c r="D66" i="1"/>
  <c r="B57" i="1"/>
  <c r="D46" i="1"/>
  <c r="B37" i="1"/>
  <c r="Q27" i="1"/>
  <c r="F23" i="1"/>
  <c r="M17" i="1"/>
  <c r="O134" i="1"/>
  <c r="C95" i="1"/>
  <c r="C83" i="1"/>
  <c r="E72" i="1"/>
  <c r="C63" i="1"/>
  <c r="E52" i="1"/>
  <c r="G41" i="1"/>
  <c r="C31" i="1"/>
  <c r="L26" i="1"/>
  <c r="R21" i="1"/>
  <c r="P16" i="1"/>
  <c r="B17" i="6"/>
  <c r="M103" i="1"/>
  <c r="L96" i="1"/>
  <c r="G91" i="1"/>
  <c r="E86" i="1"/>
  <c r="C81" i="1"/>
  <c r="G75" i="1"/>
  <c r="E70" i="1"/>
  <c r="C65" i="1"/>
  <c r="G59" i="1"/>
  <c r="E54" i="1"/>
  <c r="M20" i="6"/>
  <c r="C15" i="6"/>
  <c r="C5" i="6"/>
  <c r="D20" i="6"/>
  <c r="A9" i="6"/>
  <c r="G22" i="6"/>
  <c r="C6" i="6"/>
  <c r="F113" i="1"/>
  <c r="G99" i="1"/>
  <c r="A18" i="6"/>
  <c r="S138" i="1"/>
  <c r="Q101" i="1"/>
  <c r="N22" i="6"/>
  <c r="O133" i="1"/>
  <c r="N96" i="1"/>
  <c r="G86" i="1"/>
  <c r="G78" i="1"/>
  <c r="E73" i="1"/>
  <c r="C68" i="1"/>
  <c r="G62" i="1"/>
  <c r="E57" i="1"/>
  <c r="C52" i="1"/>
  <c r="G46" i="1"/>
  <c r="E41" i="1"/>
  <c r="C36" i="1"/>
  <c r="G30" i="1"/>
  <c r="C28" i="1"/>
  <c r="P25" i="1"/>
  <c r="L23" i="1"/>
  <c r="N20" i="1"/>
  <c r="P17" i="1"/>
  <c r="L15" i="1"/>
  <c r="F14" i="1"/>
  <c r="M138" i="1"/>
  <c r="O23" i="6"/>
  <c r="A8" i="6"/>
  <c r="S127" i="1"/>
  <c r="O101" i="1"/>
  <c r="E97" i="1"/>
  <c r="D93" i="1"/>
  <c r="B88" i="1"/>
  <c r="F82" i="1"/>
  <c r="D77" i="1"/>
  <c r="B72" i="1"/>
  <c r="F66" i="1"/>
  <c r="D61" i="1"/>
  <c r="B56" i="1"/>
  <c r="F50" i="1"/>
  <c r="B48" i="1"/>
  <c r="D45" i="1"/>
  <c r="F42" i="1"/>
  <c r="B40" i="1"/>
  <c r="D37" i="1"/>
  <c r="F34" i="1"/>
  <c r="B32" i="1"/>
  <c r="O29" i="1"/>
  <c r="M28" i="1"/>
  <c r="J27" i="1"/>
  <c r="F26" i="1"/>
  <c r="D25" i="1"/>
  <c r="B24" i="1"/>
  <c r="F22" i="1"/>
  <c r="D21" i="1"/>
  <c r="B20" i="1"/>
  <c r="F18" i="1"/>
  <c r="D17" i="1"/>
  <c r="B16" i="1"/>
  <c r="B14" i="1"/>
  <c r="G18" i="6"/>
  <c r="M130" i="1"/>
  <c r="G100" i="1"/>
  <c r="S131" i="1"/>
  <c r="J97" i="1"/>
  <c r="F93" i="1"/>
  <c r="D88" i="1"/>
  <c r="B83" i="1"/>
  <c r="F77" i="1"/>
  <c r="D72" i="1"/>
  <c r="B67" i="1"/>
  <c r="F61" i="1"/>
  <c r="D56" i="1"/>
  <c r="B51" i="1"/>
  <c r="F45" i="1"/>
  <c r="D40" i="1"/>
  <c r="B35" i="1"/>
  <c r="Q29" i="1"/>
  <c r="M27" i="1"/>
  <c r="F25" i="1"/>
  <c r="B23" i="1"/>
  <c r="D20" i="1"/>
  <c r="F17" i="1"/>
  <c r="B15" i="1"/>
  <c r="L20" i="1"/>
  <c r="G15" i="1"/>
  <c r="O128" i="1"/>
  <c r="F95" i="1"/>
  <c r="B85" i="1"/>
  <c r="B73" i="1"/>
  <c r="B65" i="1"/>
  <c r="D54" i="1"/>
  <c r="F43" i="1"/>
  <c r="B33" i="1"/>
  <c r="D26" i="1"/>
  <c r="M21" i="1"/>
  <c r="J16" i="1"/>
  <c r="M117" i="1"/>
  <c r="E92" i="1"/>
  <c r="G81" i="1"/>
  <c r="G69" i="1"/>
  <c r="E60" i="1"/>
  <c r="G49" i="1"/>
  <c r="C39" i="1"/>
  <c r="G29" i="1"/>
  <c r="G25" i="1"/>
  <c r="P20" i="1"/>
  <c r="N15" i="1"/>
  <c r="H7" i="6"/>
  <c r="F100" i="1"/>
  <c r="G95" i="1"/>
  <c r="E90" i="1"/>
  <c r="C85" i="1"/>
  <c r="G79" i="1"/>
  <c r="F18" i="6"/>
  <c r="P103" i="1"/>
  <c r="O100" i="1"/>
  <c r="C84" i="1"/>
  <c r="E61" i="1"/>
  <c r="C40" i="1"/>
  <c r="E25" i="1"/>
  <c r="G14" i="1"/>
  <c r="B5" i="6"/>
  <c r="B92" i="1"/>
  <c r="F70" i="1"/>
  <c r="B50" i="1"/>
  <c r="D39" i="1"/>
  <c r="J29" i="1"/>
  <c r="Q24" i="1"/>
  <c r="O19" i="1"/>
  <c r="B8" i="1"/>
  <c r="F112" i="1"/>
  <c r="F81" i="1"/>
  <c r="D60" i="1"/>
  <c r="B39" i="1"/>
  <c r="O24" i="1"/>
  <c r="B11" i="1"/>
  <c r="B93" i="1"/>
  <c r="F51" i="1"/>
  <c r="J20" i="1"/>
  <c r="C79" i="1"/>
  <c r="E36" i="1"/>
  <c r="F11" i="1"/>
  <c r="C89" i="1"/>
  <c r="C73" i="1"/>
  <c r="E62" i="1"/>
  <c r="G51" i="1"/>
  <c r="C45" i="1"/>
  <c r="G39" i="1"/>
  <c r="E34" i="1"/>
  <c r="N29" i="1"/>
  <c r="G27" i="1"/>
  <c r="C25" i="1"/>
  <c r="N21" i="1"/>
  <c r="C17" i="1"/>
  <c r="S137" i="1"/>
  <c r="J96" i="1"/>
  <c r="D86" i="1"/>
  <c r="B77" i="1"/>
  <c r="F63" i="1"/>
  <c r="B53" i="1"/>
  <c r="D42" i="1"/>
  <c r="F31" i="1"/>
  <c r="O26" i="1"/>
  <c r="B21" i="1"/>
  <c r="Q15" i="1"/>
  <c r="G3" i="6"/>
  <c r="G93" i="1"/>
  <c r="E84" i="1"/>
  <c r="G73" i="1"/>
  <c r="G61" i="1"/>
  <c r="C51" i="1"/>
  <c r="E40" i="1"/>
  <c r="R29" i="1"/>
  <c r="P24" i="1"/>
  <c r="C19" i="1"/>
  <c r="F7" i="1"/>
  <c r="O15" i="1"/>
  <c r="B25" i="1"/>
  <c r="N19" i="1"/>
  <c r="C53" i="1"/>
  <c r="G35" i="1"/>
  <c r="N25" i="1"/>
  <c r="B98" i="1"/>
  <c r="F79" i="1"/>
  <c r="F55" i="1"/>
  <c r="F27" i="1"/>
  <c r="E96" i="1"/>
  <c r="G53" i="1"/>
  <c r="R25" i="1"/>
  <c r="G19" i="6"/>
  <c r="G7" i="6"/>
  <c r="E98" i="1"/>
  <c r="O17" i="6"/>
  <c r="E77" i="1"/>
  <c r="C56" i="1"/>
  <c r="G34" i="1"/>
  <c r="G22" i="1"/>
  <c r="E5" i="1"/>
  <c r="M118" i="1"/>
  <c r="F86" i="1"/>
  <c r="D65" i="1"/>
  <c r="D47" i="1"/>
  <c r="F36" i="1"/>
  <c r="F28" i="1"/>
  <c r="O23" i="1"/>
  <c r="B18" i="1"/>
  <c r="D17" i="6"/>
  <c r="O96" i="1"/>
  <c r="D76" i="1"/>
  <c r="B55" i="1"/>
  <c r="F33" i="1"/>
  <c r="Q21" i="1"/>
  <c r="G19" i="1"/>
  <c r="B81" i="1"/>
  <c r="B41" i="1"/>
  <c r="F15" i="1"/>
  <c r="C67" i="1"/>
  <c r="E28" i="1"/>
  <c r="S141" i="1"/>
  <c r="G83" i="1"/>
  <c r="C69" i="1"/>
  <c r="E58" i="1"/>
  <c r="C49" i="1"/>
  <c r="G43" i="1"/>
  <c r="E38" i="1"/>
  <c r="C33" i="1"/>
  <c r="C29" i="1"/>
  <c r="P26" i="1"/>
  <c r="L24" i="1"/>
  <c r="C21" i="1"/>
  <c r="R15" i="1"/>
  <c r="M119" i="1"/>
  <c r="D94" i="1"/>
  <c r="F83" i="1"/>
  <c r="D74" i="1"/>
  <c r="F59" i="1"/>
  <c r="D50" i="1"/>
  <c r="D38" i="1"/>
  <c r="M29" i="1"/>
  <c r="M25" i="1"/>
  <c r="Q19" i="1"/>
  <c r="D14" i="1"/>
  <c r="J101" i="1"/>
  <c r="C91" i="1"/>
  <c r="E80" i="1"/>
  <c r="C71" i="1"/>
  <c r="C59" i="1"/>
  <c r="E48" i="1"/>
  <c r="G37" i="1"/>
  <c r="P28" i="1"/>
  <c r="N23" i="1"/>
  <c r="G17" i="1"/>
  <c r="C3" i="6"/>
  <c r="G94" i="1"/>
  <c r="G66" i="1"/>
  <c r="L27" i="1"/>
  <c r="M96" i="1"/>
  <c r="F54" i="1"/>
  <c r="D31" i="1"/>
  <c r="Q20" i="1"/>
  <c r="B87" i="1"/>
  <c r="D44" i="1"/>
  <c r="O16" i="1"/>
  <c r="D62" i="1"/>
  <c r="G89" i="1"/>
  <c r="E74" i="1"/>
  <c r="E46" i="1"/>
  <c r="E30" i="1"/>
  <c r="G23" i="1"/>
  <c r="O15" i="6"/>
  <c r="F67" i="1"/>
  <c r="D34" i="1"/>
  <c r="B17" i="1"/>
  <c r="C87" i="1"/>
  <c r="E64" i="1"/>
  <c r="E32" i="1"/>
  <c r="C15" i="1"/>
  <c r="M9" i="6"/>
  <c r="F19" i="6"/>
  <c r="H15" i="6"/>
  <c r="R103" i="1"/>
  <c r="C72" i="1"/>
  <c r="G50" i="1"/>
  <c r="P29" i="1"/>
  <c r="C20" i="1"/>
  <c r="S128" i="1"/>
  <c r="M100" i="1"/>
  <c r="D81" i="1"/>
  <c r="B60" i="1"/>
  <c r="F44" i="1"/>
  <c r="B34" i="1"/>
  <c r="D27" i="1"/>
  <c r="B22" i="1"/>
  <c r="Q16" i="1"/>
  <c r="D111" i="1"/>
  <c r="D92" i="1"/>
  <c r="B71" i="1"/>
  <c r="F49" i="1"/>
  <c r="F29" i="1"/>
  <c r="M19" i="1"/>
  <c r="F9" i="1"/>
  <c r="F71" i="1"/>
  <c r="D30" i="1"/>
  <c r="D99" i="1"/>
  <c r="G57" i="1"/>
  <c r="E24" i="1"/>
  <c r="C98" i="1"/>
  <c r="E78" i="1"/>
  <c r="G67" i="1"/>
  <c r="C57" i="1"/>
  <c r="G47" i="1"/>
  <c r="E42" i="1"/>
  <c r="C37" i="1"/>
  <c r="G31" i="1"/>
  <c r="L28" i="1"/>
  <c r="E26" i="1"/>
  <c r="R23" i="1"/>
  <c r="R19" i="1"/>
  <c r="E14" i="1"/>
  <c r="B102" i="1"/>
  <c r="F91" i="1"/>
  <c r="D82" i="1"/>
  <c r="D70" i="1"/>
  <c r="D58" i="1"/>
  <c r="F47" i="1"/>
  <c r="F35" i="1"/>
  <c r="J28" i="1"/>
  <c r="J24" i="1"/>
  <c r="D18" i="1"/>
  <c r="E4" i="1"/>
  <c r="L97" i="1"/>
  <c r="E88" i="1"/>
  <c r="G77" i="1"/>
  <c r="E68" i="1"/>
  <c r="E56" i="1"/>
  <c r="G45" i="1"/>
  <c r="C35" i="1"/>
  <c r="N27" i="1"/>
  <c r="G21" i="1"/>
  <c r="E16" i="1"/>
  <c r="F3" i="6"/>
  <c r="O132" i="1"/>
  <c r="E45" i="1"/>
  <c r="E17" i="1"/>
  <c r="C20" i="6"/>
  <c r="B76" i="1"/>
  <c r="B42" i="1"/>
  <c r="B26" i="1"/>
  <c r="E99" i="1"/>
  <c r="F65" i="1"/>
  <c r="B27" i="1"/>
  <c r="M109" i="1"/>
  <c r="C47" i="1"/>
  <c r="E94" i="1"/>
  <c r="G63" i="1"/>
  <c r="C41" i="1"/>
  <c r="R27" i="1"/>
  <c r="E18" i="1"/>
  <c r="B89" i="1"/>
  <c r="B45" i="1"/>
  <c r="D22" i="1"/>
  <c r="H19" i="6"/>
  <c r="E76" i="1"/>
  <c r="C43" i="1"/>
  <c r="E20" i="1"/>
  <c r="J22" i="1" l="1"/>
  <c r="H127" i="1"/>
  <c r="L22" i="1"/>
  <c r="H131" i="1"/>
  <c r="P22" i="1"/>
  <c r="D124" i="1"/>
  <c r="B109" i="1"/>
  <c r="D118" i="1"/>
  <c r="O22" i="1"/>
  <c r="H121" i="1"/>
  <c r="B120" i="1"/>
  <c r="H124" i="1"/>
  <c r="M22" i="1"/>
  <c r="Q22" i="1"/>
  <c r="B111" i="1"/>
  <c r="B112" i="1"/>
  <c r="H117" i="1"/>
  <c r="B119" i="1"/>
  <c r="B123" i="1"/>
  <c r="H125" i="1"/>
  <c r="H129" i="1"/>
  <c r="H109" i="1"/>
  <c r="H118" i="1"/>
  <c r="B122" i="1"/>
  <c r="B128" i="1"/>
  <c r="P2" i="6"/>
  <c r="N22" i="1"/>
  <c r="R22" i="1"/>
  <c r="H111" i="1"/>
  <c r="D119" i="1"/>
  <c r="D123" i="1"/>
  <c r="B126" i="1"/>
  <c r="B130" i="1"/>
  <c r="B110" i="1"/>
  <c r="H112" i="1"/>
  <c r="B117" i="1"/>
  <c r="H119" i="1"/>
  <c r="D120" i="1"/>
  <c r="B121" i="1"/>
  <c r="D122" i="1"/>
  <c r="H123" i="1"/>
  <c r="B125" i="1"/>
  <c r="H126" i="1"/>
  <c r="H128" i="1"/>
  <c r="H130" i="1"/>
  <c r="H110" i="1"/>
  <c r="D117" i="1"/>
  <c r="B118" i="1"/>
  <c r="H120" i="1"/>
  <c r="D121" i="1"/>
  <c r="H122" i="1"/>
  <c r="B124" i="1"/>
  <c r="D125" i="1"/>
  <c r="B127" i="1"/>
  <c r="B129" i="1"/>
  <c r="B131" i="1"/>
  <c r="J4" i="6"/>
  <c r="P29" i="6" l="1"/>
  <c r="P25" i="6"/>
  <c r="P21" i="6"/>
  <c r="P17" i="6"/>
  <c r="P11" i="6"/>
  <c r="P7" i="6"/>
  <c r="P3" i="6"/>
  <c r="P27" i="6"/>
  <c r="P23" i="6"/>
  <c r="P19" i="6"/>
  <c r="P15" i="6"/>
  <c r="P13" i="6"/>
  <c r="P9" i="6"/>
  <c r="P5" i="6"/>
  <c r="P28" i="6"/>
  <c r="P16" i="6"/>
  <c r="P12" i="6"/>
  <c r="P8" i="6"/>
  <c r="P4" i="6"/>
  <c r="P26" i="6"/>
  <c r="P22" i="6"/>
  <c r="P14" i="6"/>
  <c r="P10" i="6"/>
  <c r="P24" i="6"/>
  <c r="P18" i="6"/>
  <c r="P6" i="6"/>
  <c r="P20" i="6"/>
  <c r="J5" i="6"/>
  <c r="J7" i="6"/>
  <c r="J18" i="6"/>
  <c r="J8" i="6"/>
  <c r="J21" i="6"/>
  <c r="J15" i="6"/>
  <c r="J17" i="6"/>
  <c r="J16" i="6"/>
  <c r="J23" i="6"/>
  <c r="J9" i="6"/>
  <c r="J6" i="6"/>
  <c r="J19" i="6"/>
  <c r="J20" i="6"/>
  <c r="J22" i="6"/>
</calcChain>
</file>

<file path=xl/sharedStrings.xml><?xml version="1.0" encoding="utf-8"?>
<sst xmlns="http://schemas.openxmlformats.org/spreadsheetml/2006/main" count="573" uniqueCount="223">
  <si>
    <t>d19041615.IB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</si>
  <si>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</si>
  <si>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</si>
  <si>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</si>
  <si>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</si>
  <si>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</si>
  <si>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</si>
  <si>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</si>
  <si>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</si>
  <si>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</si>
  <si>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</si>
  <si>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</si>
  <si>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</si>
  <si>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</si>
  <si>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</si>
  <si>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</si>
  <si>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</si>
  <si>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</si>
  <si>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</si>
  <si>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</si>
  <si>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</si>
  <si>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</si>
  <si>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</si>
  <si>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</si>
  <si>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</si>
  <si>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</si>
  <si>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</si>
  <si>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</si>
  <si>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</si>
  <si>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</si>
  <si>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</si>
  <si>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</si>
  <si>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</si>
  <si>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</si>
  <si>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</si>
  <si>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</si>
  <si>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</si>
  <si>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</si>
  <si>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</si>
  <si>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</si>
  <si>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</si>
  <si>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</si>
  <si>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</si>
  <si>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</si>
  <si>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</si>
  <si>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</si>
  <si>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</si>
  <si>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</si>
  <si>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</si>
  <si>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</si>
  <si>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</si>
  <si>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</si>
  <si>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</si>
  <si>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</si>
  <si>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</si>
  <si>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</si>
  <si>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</si>
  <si>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</si>
  <si>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</si>
  <si>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</si>
  <si>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</si>
  <si>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</si>
  <si>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</si>
  <si>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</si>
  <si>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</si>
  <si>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</si>
  <si>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</si>
  <si>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</si>
  <si>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</si>
  <si>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</si>
  <si>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</si>
  <si>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</si>
  <si>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</si>
  <si>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</si>
  <si>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</si>
  <si>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</si>
  <si>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</si>
  <si>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</si>
  <si>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</si>
  <si>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</si>
  <si>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</si>
  <si>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</si>
  <si>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</si>
  <si>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</si>
  <si>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</si>
  <si>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</si>
  <si>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</si>
  <si>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</si>
  <si>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</si>
  <si>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</si>
  <si>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</si>
  <si>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</si>
  <si>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</si>
  <si>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</si>
  <si>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</si>
  <si>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</si>
  <si>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</si>
  <si>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</si>
  <si>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</si>
  <si>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</si>
  <si>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</si>
  <si>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</si>
  <si>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</si>
  <si>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</si>
  <si>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</si>
  <si>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</si>
  <si>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</si>
  <si>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</si>
  <si>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</si>
  <si>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</si>
  <si>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</si>
  <si>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</si>
  <si>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</si>
  <si>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011900863.IB</t>
  </si>
  <si>
    <t>20190410</t>
  </si>
  <si>
    <t>19广州国资SCP001</t>
  </si>
  <si>
    <t>011801913.IB</t>
  </si>
  <si>
    <t>20181010</t>
  </si>
  <si>
    <t>18广州国资SCP001</t>
  </si>
  <si>
    <t>143580.SH</t>
  </si>
  <si>
    <t>20180417</t>
  </si>
  <si>
    <t>18穗发01</t>
  </si>
  <si>
    <t>143087.SH</t>
  </si>
  <si>
    <t>20170421</t>
  </si>
  <si>
    <t>17穗发01</t>
  </si>
  <si>
    <t>136837.SH</t>
  </si>
  <si>
    <t>20161117</t>
  </si>
  <si>
    <t>16穗发01</t>
  </si>
  <si>
    <t>031660020.IB</t>
  </si>
  <si>
    <t>20160317</t>
  </si>
  <si>
    <t>16广州国资PPN001</t>
  </si>
  <si>
    <t>031560091.IB</t>
  </si>
  <si>
    <t>20151103</t>
  </si>
  <si>
    <t>15广州国资PPN001</t>
  </si>
  <si>
    <t>031490935.IB</t>
  </si>
  <si>
    <t>20141029</t>
  </si>
  <si>
    <t>14广州发展PPN001</t>
  </si>
  <si>
    <t>0581048.IB</t>
  </si>
  <si>
    <t>20051111</t>
  </si>
  <si>
    <t>05广发展CP02</t>
  </si>
  <si>
    <t>0581047.IB</t>
  </si>
  <si>
    <t>05广发展CP01</t>
  </si>
  <si>
    <t>历史主体评级</t>
  </si>
  <si>
    <t>发布日期</t>
  </si>
  <si>
    <t>主体资信级别</t>
  </si>
  <si>
    <t>评级展望</t>
  </si>
  <si>
    <t>评级机构</t>
  </si>
  <si>
    <t>20180830</t>
  </si>
  <si>
    <t>AAA</t>
  </si>
  <si>
    <t>稳定</t>
  </si>
  <si>
    <t>中诚信国际信用评级有限责任公司</t>
  </si>
  <si>
    <t>20180627</t>
  </si>
  <si>
    <t>中诚信证券评估有限公司</t>
  </si>
  <si>
    <t>20180404</t>
  </si>
  <si>
    <t>20170627</t>
  </si>
  <si>
    <t>20170414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</si>
  <si>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</si>
  <si>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</si>
  <si>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</si>
  <si>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</si>
  <si>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</si>
  <si>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</si>
  <si>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</si>
  <si>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</si>
  <si>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</si>
  <si>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</si>
  <si>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</si>
  <si>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</si>
  <si>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</si>
  <si>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</si>
  <si>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</si>
  <si>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</si>
  <si>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</si>
  <si>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</si>
  <si>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</si>
  <si>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</si>
  <si>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</si>
  <si>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</si>
  <si>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</si>
  <si>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</si>
  <si>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</si>
  <si>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</si>
  <si>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</si>
  <si>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</si>
  <si>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</si>
  <si>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</si>
  <si>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</si>
  <si>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</si>
  <si>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</si>
  <si>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</si>
  <si>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</si>
  <si>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</si>
  <si>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</si>
  <si>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</si>
  <si>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</si>
  <si>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</si>
  <si>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</si>
  <si>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</si>
  <si>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</si>
  <si>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</si>
  <si>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</si>
  <si>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</si>
  <si>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</si>
  <si>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</si>
  <si>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</si>
  <si>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</si>
  <si>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</si>
  <si>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</si>
  <si>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</si>
  <si>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</si>
  <si>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</si>
  <si>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</si>
  <si>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</si>
  <si>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</si>
  <si>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</si>
  <si>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工业--资本货物--综合类Ⅲ--综合类行业</t>
  </si>
  <si>
    <t>广东省广州市天河区临江大道3号901房(仅限办公用途)</t>
  </si>
  <si>
    <t>公司(简称“发展集团”)是广州市国有资产授权经营机构，主要从事综合能源业务和基础产业的投资、经营和管理。十多年来，发展集团形成了“注重认真、追求卓越、持续发展”的企业核心价值观和可持续发展的管理文化，实现了企业持续稳定的发展，成为广东省工业企业50强企业。发展集团通过产业经营与资本运营相结合的经营方式，重点投资和发展以电力、煤炭、油品、天然气和新能源为主的综合能源业务，取得了令人瞩目的社会效益和经济效益，成为广州市经济舞台上的一支重要力量。目前，发展集团属下拥有包括广州发展集团股份有限公司、广州电力企业集团有限公司、广州燃气集团有限公司等全资、控股企业30多家，拥有一批经验丰富的产业经营和资本经营管理团队，具备较强的扩张和盈利能力，呈现出持续、稳定和快速增长的发展势头，迈入新一轮大发展时期。</t>
  </si>
  <si>
    <t>广州市人民政府</t>
  </si>
  <si>
    <t/>
  </si>
  <si>
    <t>A-1+</t>
  </si>
  <si>
    <t>A-1</t>
  </si>
  <si>
    <t>广州国资发展控股有限公司</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</si>
</sst>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7" t="s">
        <v>2</v>
      </c>
      <c r="B4" s="138" t="str">
        <f>[1]!b_info_issuerupdated(A2)</f>
        <v>广州国资发展控股有限公司</v>
      </c>
      <c r="C4" s="133"/>
      <c r="D4" s="57" t="s">
        <v>3</v>
      </c>
      <c r="E4" s="138" t="str">
        <f>[1]!s_info_nature(A2)</f>
        <v>地方国有企业</v>
      </c>
      <c r="F4" s="133"/>
      <c r="G4" s="133"/>
      <c r="H4" s="19"/>
    </row>
    <row r="5" spans="1:20" s="17" customFormat="1" ht="14.25" customHeight="1" x14ac:dyDescent="0.25">
      <c r="A5" s="57" t="s">
        <v>4</v>
      </c>
      <c r="B5" s="138" t="str">
        <f>[1]!b_issuer_windindustry(A2,9)</f>
        <v>工业--资本货物--综合类Ⅲ--综合类行业</v>
      </c>
      <c r="C5" s="133"/>
      <c r="D5" s="57" t="s">
        <v>5</v>
      </c>
      <c r="E5" s="138" t="str">
        <f>[1]!b_issuer_regaddress(A2)</f>
        <v>广东省广州市天河区临江大道3号901房(仅限办公用途)</v>
      </c>
      <c r="F5" s="133"/>
      <c r="G5" s="133"/>
    </row>
    <row r="6" spans="1:20" s="17" customFormat="1" ht="81" customHeight="1" x14ac:dyDescent="0.25">
      <c r="A6" s="57" t="s">
        <v>6</v>
      </c>
      <c r="B6" s="136" t="str">
        <f>[1]!s_info_briefing(A2)</f>
        <v>公司(简称“发展集团”)是广州市国有资产授权经营机构，主要从事综合能源业务和基础产业的投资、经营和管理。十多年来，发展集团形成了“注重认真、追求卓越、持续发展”的企业核心价值观和可持续发展的管理文化，实现了企业持续稳定的发展，成为广东省工业企业50强企业。发展集团通过产业经营与资本运营相结合的经营方式，重点投资和发展以电力、煤炭、油品、天然气和新能源为主的综合能源业务，取得了令人瞩目的社会效益和经济效益，成为广州市经济舞台上的一支重要力量。目前，发展集团属下拥有包括广州发展集团股份有限公司、广州电力企业集团有限公司、广州燃气集团有限公司等全资、控股企业30多家，拥有一批经验丰富的产业经营和资本经营管理团队，具备较强的扩张和盈利能力，呈现出持续、稳定和快速增长的发展势头，迈入新一轮大发展时期。</v>
      </c>
      <c r="C6" s="133"/>
      <c r="D6" s="133"/>
      <c r="E6" s="133"/>
      <c r="F6" s="133"/>
      <c r="G6" s="133"/>
    </row>
    <row r="7" spans="1:20" s="17" customFormat="1" x14ac:dyDescent="0.25">
      <c r="A7" s="59" t="s">
        <v>7</v>
      </c>
      <c r="B7" s="132" t="str">
        <f>[1]!b_issuer_shareholder(A2,"",1)</f>
        <v>广州市人民政府</v>
      </c>
      <c r="C7" s="133"/>
      <c r="D7" s="133"/>
      <c r="E7" s="133"/>
      <c r="F7" s="61">
        <f>[1]!b_issuer_propofshareholder($A$2,"",1)%</f>
        <v>1</v>
      </c>
      <c r="G7" s="60"/>
      <c r="H7" s="20" t="s">
        <v>8</v>
      </c>
      <c r="M7" s="24">
        <v>42004</v>
      </c>
      <c r="N7" s="24">
        <v>42369</v>
      </c>
      <c r="O7" s="24">
        <v>41639</v>
      </c>
      <c r="P7" s="62" t="s">
        <v>9</v>
      </c>
      <c r="Q7" s="62" t="s">
        <v>10</v>
      </c>
      <c r="R7" s="62" t="s">
        <v>11</v>
      </c>
    </row>
    <row r="8" spans="1:20" s="17" customFormat="1" x14ac:dyDescent="0.25">
      <c r="A8" s="59"/>
      <c r="B8" s="132">
        <f>[1]!b_issuer_shareholder(A2,"",2)</f>
        <v>0</v>
      </c>
      <c r="C8" s="133"/>
      <c r="D8" s="133"/>
      <c r="E8" s="133"/>
      <c r="F8" s="61">
        <f>[1]!b_issuer_propofshareholder($A$2,"",2)%</f>
        <v>0</v>
      </c>
      <c r="G8" s="60"/>
      <c r="H8" s="20"/>
      <c r="M8" s="25"/>
      <c r="O8" s="25"/>
      <c r="P8" s="63"/>
    </row>
    <row r="9" spans="1:20" s="17" customFormat="1" x14ac:dyDescent="0.25">
      <c r="A9" s="59"/>
      <c r="B9" s="132">
        <f>[1]!b_issuer_shareholder(A2,"",3)</f>
        <v>0</v>
      </c>
      <c r="C9" s="133"/>
      <c r="D9" s="133"/>
      <c r="E9" s="133"/>
      <c r="F9" s="61">
        <f>[1]!b_issuer_propofshareholder($A$2,"",3)%</f>
        <v>0</v>
      </c>
      <c r="G9" s="60"/>
      <c r="H9" s="20"/>
      <c r="M9" s="25"/>
      <c r="O9" s="25"/>
      <c r="P9" s="63"/>
    </row>
    <row r="10" spans="1:20" s="17" customFormat="1" x14ac:dyDescent="0.25">
      <c r="A10" s="59"/>
      <c r="B10" s="132">
        <f>[1]!b_issuer_shareholder(A2,"",4)</f>
        <v>0</v>
      </c>
      <c r="C10" s="133"/>
      <c r="D10" s="133"/>
      <c r="E10" s="133"/>
      <c r="F10" s="61">
        <f>[1]!b_issuer_propofshareholder($A$2,"",4)%</f>
        <v>0</v>
      </c>
      <c r="G10" s="60"/>
      <c r="H10" s="20"/>
      <c r="M10" s="25"/>
      <c r="O10" s="25"/>
      <c r="P10" s="63"/>
    </row>
    <row r="11" spans="1:20" s="17" customFormat="1" x14ac:dyDescent="0.25">
      <c r="A11" s="59"/>
      <c r="B11" s="132">
        <f>[1]!b_issuer_shareholder(A2,"",5)</f>
        <v>0</v>
      </c>
      <c r="C11" s="133"/>
      <c r="D11" s="133"/>
      <c r="E11" s="133"/>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d19041615.IB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广州国资发展控股有限公司</v>
      </c>
      <c r="K15" s="117"/>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18"/>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18"/>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18"/>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699.71072850320013</v>
      </c>
      <c r="K19" s="118"/>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0.55565299999999995</v>
      </c>
      <c r="K20" s="118"/>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1.1560999999999999</v>
      </c>
      <c r="K21" s="118"/>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0.94994211050496735</v>
      </c>
      <c r="K22" s="118"/>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0.10979999999999999</v>
      </c>
      <c r="K23" s="118"/>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286.51447129090002</v>
      </c>
      <c r="K24" s="118"/>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1.1359999999999999</v>
      </c>
      <c r="K25" s="118"/>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0.14336000000000002</v>
      </c>
      <c r="K26" s="118"/>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13.2755951215</v>
      </c>
      <c r="K27" s="118"/>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4.2374999999999996E-2</v>
      </c>
      <c r="K28" s="118"/>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27.138073739699998</v>
      </c>
      <c r="K29" s="118"/>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10006256316</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338108747.75</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155875285.43000001</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4753791051.0699997</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14281033024.450001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31091436097.09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7" t="s">
        <v>46</v>
      </c>
      <c r="B106" s="128"/>
      <c r="C106" s="128"/>
      <c r="D106" s="118"/>
      <c r="E106" s="118"/>
      <c r="F106" s="118"/>
      <c r="G106" s="118"/>
      <c r="H106" s="118"/>
      <c r="I106" s="118"/>
      <c r="J106" s="118"/>
      <c r="L106" s="17"/>
      <c r="M106" s="17"/>
    </row>
    <row r="107" spans="1:19" x14ac:dyDescent="0.25">
      <c r="A107" s="126" t="s">
        <v>47</v>
      </c>
      <c r="B107" s="128"/>
      <c r="C107" s="128"/>
      <c r="D107" s="118"/>
      <c r="E107" s="118"/>
      <c r="F107" s="118"/>
      <c r="G107" s="134">
        <v>2017</v>
      </c>
      <c r="H107" s="118"/>
      <c r="I107" s="118"/>
      <c r="J107" s="118"/>
      <c r="K107" s="40" t="str">
        <f>A2</f>
        <v>d19041615.IB</v>
      </c>
      <c r="L107" s="33">
        <f>B2</f>
        <v>43100</v>
      </c>
      <c r="M107" s="17"/>
    </row>
    <row r="108" spans="1:19" ht="12.75" customHeight="1" x14ac:dyDescent="0.25">
      <c r="A108" s="135" t="s">
        <v>48</v>
      </c>
      <c r="B108" s="128"/>
      <c r="C108" s="135" t="s">
        <v>49</v>
      </c>
      <c r="D108" s="118"/>
      <c r="E108" s="135" t="s">
        <v>50</v>
      </c>
      <c r="F108" s="118"/>
      <c r="G108" s="135" t="s">
        <v>51</v>
      </c>
      <c r="H108" s="118"/>
      <c r="I108" s="135" t="s">
        <v>52</v>
      </c>
      <c r="J108" s="118"/>
      <c r="L108" s="17"/>
      <c r="M108" s="17"/>
    </row>
    <row r="109" spans="1:19" ht="16.5" customHeight="1" x14ac:dyDescent="0.25">
      <c r="A109" s="54" t="s">
        <v>53</v>
      </c>
      <c r="B109" s="12">
        <f>M109/100</f>
        <v>0.55565299999999995</v>
      </c>
      <c r="C109" s="54" t="s">
        <v>29</v>
      </c>
      <c r="D109" s="72">
        <f>[1]!s_fa_current(A2,B2)</f>
        <v>1.1560999999999999</v>
      </c>
      <c r="E109" s="54" t="s">
        <v>33</v>
      </c>
      <c r="F109" s="73">
        <f>[1]!s_fa_salescashintoor(A2,B2)/100</f>
        <v>1.1359999999999999</v>
      </c>
      <c r="G109" s="54" t="s">
        <v>34</v>
      </c>
      <c r="H109" s="12">
        <f>S109/100</f>
        <v>0.14336000000000002</v>
      </c>
      <c r="I109" s="54"/>
      <c r="J109" s="16"/>
      <c r="K109" s="25"/>
      <c r="L109" s="34" t="s">
        <v>53</v>
      </c>
      <c r="M109" s="74">
        <f>[1]!s_fa_debttoassets(A2,B2)</f>
        <v>55.565300000000001</v>
      </c>
      <c r="N109" s="54" t="s">
        <v>29</v>
      </c>
      <c r="O109" s="35"/>
      <c r="P109" s="54" t="s">
        <v>33</v>
      </c>
      <c r="Q109" s="35"/>
      <c r="R109" s="54" t="s">
        <v>34</v>
      </c>
      <c r="S109" s="75">
        <f>[1]!s_fa_grossprofitmargin(A2,B2)</f>
        <v>14.336</v>
      </c>
    </row>
    <row r="110" spans="1:19" ht="15.75" customHeight="1" x14ac:dyDescent="0.25">
      <c r="A110" s="54" t="s">
        <v>54</v>
      </c>
      <c r="B110" s="12">
        <f>M110/100</f>
        <v>0.27226</v>
      </c>
      <c r="C110" s="54" t="s">
        <v>55</v>
      </c>
      <c r="D110" s="73">
        <f>[1]!s_fa_quick(A2,B2)</f>
        <v>1.0145</v>
      </c>
      <c r="E110" s="54" t="s">
        <v>56</v>
      </c>
      <c r="F110" s="72">
        <f>[1]!s_fa_arturn(A2,B2)</f>
        <v>23.751100000000001</v>
      </c>
      <c r="G110" s="54" t="s">
        <v>57</v>
      </c>
      <c r="H110" s="12">
        <f>S110/100</f>
        <v>7.0188E-2</v>
      </c>
      <c r="I110" s="54"/>
      <c r="J110" s="16"/>
      <c r="L110" s="54" t="s">
        <v>54</v>
      </c>
      <c r="M110" s="74">
        <f>[1]!s_fa_catoassets(A2,B2)</f>
        <v>27.225999999999999</v>
      </c>
      <c r="N110" s="54" t="s">
        <v>55</v>
      </c>
      <c r="O110" s="35"/>
      <c r="P110" s="54" t="s">
        <v>56</v>
      </c>
      <c r="Q110" s="73"/>
      <c r="R110" s="54" t="s">
        <v>57</v>
      </c>
      <c r="S110" s="75">
        <f>[1]!s_fa_optogr(A2,B2)</f>
        <v>7.0187999999999997</v>
      </c>
    </row>
    <row r="111" spans="1:19" ht="15" customHeight="1" x14ac:dyDescent="0.25">
      <c r="A111" s="54" t="s">
        <v>58</v>
      </c>
      <c r="B111" s="12">
        <f>M111/100</f>
        <v>0.42382399999999998</v>
      </c>
      <c r="C111" s="54" t="s">
        <v>31</v>
      </c>
      <c r="D111" s="73">
        <f>[1]!s_fa_ebitdatodebt(A2,B2)</f>
        <v>0.10979999999999999</v>
      </c>
      <c r="E111" s="54" t="s">
        <v>59</v>
      </c>
      <c r="F111" s="72">
        <f>[1]!s_fa_invturn(A2,B2)</f>
        <v>10.195600000000001</v>
      </c>
      <c r="G111" s="54" t="s">
        <v>37</v>
      </c>
      <c r="H111" s="12">
        <f>S111/100</f>
        <v>4.2374999999999996E-2</v>
      </c>
      <c r="I111" s="54"/>
      <c r="J111" s="16"/>
      <c r="L111" s="54" t="s">
        <v>58</v>
      </c>
      <c r="M111" s="74">
        <f>[1]!s_fa_currentdebttodebt(A2,B2)</f>
        <v>42.382399999999997</v>
      </c>
      <c r="N111" s="54" t="s">
        <v>31</v>
      </c>
      <c r="O111" s="35"/>
      <c r="P111" s="54" t="s">
        <v>59</v>
      </c>
      <c r="Q111" s="35"/>
      <c r="R111" s="54" t="s">
        <v>37</v>
      </c>
      <c r="S111" s="75">
        <f>[1]!s_fa_roe(A2,B2)</f>
        <v>4.2374999999999998</v>
      </c>
    </row>
    <row r="112" spans="1:19" ht="14.25" customHeight="1" x14ac:dyDescent="0.25">
      <c r="A112" s="54" t="s">
        <v>30</v>
      </c>
      <c r="B112" s="76">
        <f>(M116+M117+M118+M119+M120+M121)/M123</f>
        <v>0.94994211050496735</v>
      </c>
      <c r="C112" s="54" t="s">
        <v>60</v>
      </c>
      <c r="D112" s="73">
        <f>[1]!s_fa_ebittointerest(A2,B2)</f>
        <v>3.5247000000000002</v>
      </c>
      <c r="E112" s="54" t="s">
        <v>61</v>
      </c>
      <c r="F112" s="72">
        <f>[1]!s_fa_caturn(A2,B2)</f>
        <v>1.8170999999999999</v>
      </c>
      <c r="G112" s="54" t="s">
        <v>62</v>
      </c>
      <c r="H112" s="12">
        <f>S112/100</f>
        <v>4.5838999999999998E-2</v>
      </c>
      <c r="I112" s="54"/>
      <c r="J112" s="16"/>
      <c r="L112" s="54" t="s">
        <v>30</v>
      </c>
      <c r="M112" s="77"/>
      <c r="N112" s="54" t="s">
        <v>60</v>
      </c>
      <c r="O112" s="35"/>
      <c r="P112" s="54" t="s">
        <v>61</v>
      </c>
      <c r="Q112" s="35"/>
      <c r="R112" s="54" t="s">
        <v>62</v>
      </c>
      <c r="S112" s="75">
        <f>[1]!s_fa_roa2(A2,B2)</f>
        <v>4.5838999999999999</v>
      </c>
    </row>
    <row r="113" spans="1:21" x14ac:dyDescent="0.25">
      <c r="A113" s="30"/>
      <c r="B113" s="31"/>
      <c r="C113" s="30"/>
      <c r="D113" s="32"/>
      <c r="E113" s="30" t="s">
        <v>63</v>
      </c>
      <c r="F113" s="78">
        <f>[1]!s_fa_dupont_faturnover(A2,B2)</f>
        <v>0.4642</v>
      </c>
      <c r="G113" s="30"/>
      <c r="H113" s="31"/>
      <c r="I113" s="30"/>
      <c r="J113" s="31"/>
      <c r="L113" s="30"/>
      <c r="M113" s="36"/>
      <c r="N113" s="30"/>
      <c r="O113" s="32"/>
      <c r="P113" s="30" t="s">
        <v>63</v>
      </c>
      <c r="Q113" s="37"/>
      <c r="R113" s="30"/>
      <c r="S113" s="31"/>
    </row>
    <row r="114" spans="1:21" ht="13.5" customHeight="1" x14ac:dyDescent="0.25">
      <c r="A114" s="127" t="s">
        <v>64</v>
      </c>
      <c r="B114" s="128"/>
      <c r="C114" s="128"/>
      <c r="D114" s="118"/>
      <c r="E114" s="118"/>
      <c r="F114" s="118"/>
      <c r="G114" s="118"/>
      <c r="H114" s="118"/>
      <c r="I114" s="118"/>
      <c r="J114" s="118"/>
      <c r="L114" s="17"/>
      <c r="M114" s="17"/>
    </row>
    <row r="115" spans="1:21" ht="13.5" customHeight="1" x14ac:dyDescent="0.25">
      <c r="A115" s="126" t="s">
        <v>65</v>
      </c>
      <c r="B115" s="128"/>
      <c r="C115" s="128"/>
      <c r="D115" s="118"/>
      <c r="E115" s="118"/>
      <c r="F115" s="118"/>
      <c r="G115" s="129">
        <v>2017</v>
      </c>
      <c r="H115" s="118"/>
      <c r="I115" s="118"/>
      <c r="J115" s="118"/>
      <c r="L115" s="17"/>
      <c r="M115" s="17"/>
    </row>
    <row r="116" spans="1:21" x14ac:dyDescent="0.25">
      <c r="A116" s="130" t="s">
        <v>66</v>
      </c>
      <c r="B116" s="128"/>
      <c r="C116" s="130" t="s">
        <v>67</v>
      </c>
      <c r="D116" s="118"/>
      <c r="E116" s="131" t="s">
        <v>68</v>
      </c>
      <c r="F116" s="118"/>
      <c r="G116" s="118"/>
      <c r="H116" s="118"/>
      <c r="I116" s="118"/>
      <c r="J116" s="118"/>
      <c r="L116" s="17" t="s">
        <v>39</v>
      </c>
      <c r="M116" s="71">
        <f>[1]!b_stm07_bs(K107,75,L107,1)</f>
        <v>10006256316</v>
      </c>
    </row>
    <row r="117" spans="1:21" ht="14.25" customHeight="1" x14ac:dyDescent="0.25">
      <c r="A117" s="54" t="s">
        <v>69</v>
      </c>
      <c r="B117" s="73">
        <f t="shared" ref="B117:B131" si="1">M127/100000000</f>
        <v>79.952497170599997</v>
      </c>
      <c r="C117" s="54" t="s">
        <v>70</v>
      </c>
      <c r="D117" s="76">
        <f t="shared" ref="D117:D125" si="2">O127/100000000</f>
        <v>287.97669482319998</v>
      </c>
      <c r="E117" s="119" t="s">
        <v>71</v>
      </c>
      <c r="F117" s="118"/>
      <c r="G117" s="118"/>
      <c r="H117" s="124">
        <f t="shared" ref="H117:H131" si="3">S127/100000000</f>
        <v>325.47090159470002</v>
      </c>
      <c r="I117" s="118"/>
      <c r="J117" s="118"/>
      <c r="L117" s="17" t="s">
        <v>40</v>
      </c>
      <c r="M117" s="71">
        <f>[1]!b_stm07_bs(K107,82,L107,1)</f>
        <v>338108747.75</v>
      </c>
    </row>
    <row r="118" spans="1:21" ht="14.25" customHeight="1" x14ac:dyDescent="0.25">
      <c r="A118" s="54" t="s">
        <v>72</v>
      </c>
      <c r="B118" s="73">
        <f t="shared" si="1"/>
        <v>11.7792942347</v>
      </c>
      <c r="C118" s="54" t="s">
        <v>73</v>
      </c>
      <c r="D118" s="76">
        <f t="shared" si="2"/>
        <v>285.51995328020001</v>
      </c>
      <c r="E118" s="119" t="s">
        <v>74</v>
      </c>
      <c r="F118" s="118"/>
      <c r="G118" s="118"/>
      <c r="H118" s="124">
        <f t="shared" si="3"/>
        <v>5.5885147326000002</v>
      </c>
      <c r="I118" s="118"/>
      <c r="J118" s="118"/>
      <c r="L118" s="17" t="s">
        <v>41</v>
      </c>
      <c r="M118" s="71">
        <f>[1]!b_stm07_bs(K107,88,L107,1)</f>
        <v>155875285.43000001</v>
      </c>
    </row>
    <row r="119" spans="1:21" ht="14.25" customHeight="1" x14ac:dyDescent="0.25">
      <c r="A119" s="54" t="s">
        <v>75</v>
      </c>
      <c r="B119" s="73">
        <f t="shared" si="1"/>
        <v>0.83167635769999992</v>
      </c>
      <c r="C119" s="54" t="s">
        <v>76</v>
      </c>
      <c r="D119" s="76">
        <f t="shared" si="2"/>
        <v>245.43969511580002</v>
      </c>
      <c r="E119" s="119" t="s">
        <v>77</v>
      </c>
      <c r="F119" s="118"/>
      <c r="G119" s="118"/>
      <c r="H119" s="123">
        <f t="shared" si="3"/>
        <v>332.69613128660001</v>
      </c>
      <c r="I119" s="118"/>
      <c r="J119" s="118"/>
      <c r="L119" s="17" t="s">
        <v>42</v>
      </c>
      <c r="M119" s="71">
        <f>[1]!b_stm07_bs(K107,147,L107,1)</f>
        <v>0</v>
      </c>
    </row>
    <row r="120" spans="1:21" ht="14.25" customHeight="1" x14ac:dyDescent="0.25">
      <c r="A120" s="54" t="s">
        <v>78</v>
      </c>
      <c r="B120" s="73">
        <f t="shared" si="1"/>
        <v>201.21517161049999</v>
      </c>
      <c r="C120" s="54" t="s">
        <v>79</v>
      </c>
      <c r="D120" s="76">
        <f t="shared" si="2"/>
        <v>9.3514119349999998</v>
      </c>
      <c r="E120" s="119" t="s">
        <v>80</v>
      </c>
      <c r="F120" s="118"/>
      <c r="G120" s="118"/>
      <c r="H120" s="124">
        <f t="shared" si="3"/>
        <v>253.47577880189999</v>
      </c>
      <c r="I120" s="118"/>
      <c r="J120" s="118"/>
      <c r="L120" s="17" t="s">
        <v>43</v>
      </c>
      <c r="M120" s="71">
        <f>[1]!b_stm07_bs(K107,94,L107,1)</f>
        <v>4753791051.0699997</v>
      </c>
    </row>
    <row r="121" spans="1:21" ht="14.25" customHeight="1" x14ac:dyDescent="0.25">
      <c r="A121" s="54" t="s">
        <v>81</v>
      </c>
      <c r="B121" s="73">
        <f t="shared" si="1"/>
        <v>8.1259856776999992</v>
      </c>
      <c r="C121" s="54" t="s">
        <v>82</v>
      </c>
      <c r="D121" s="76">
        <f t="shared" si="2"/>
        <v>11.404005171800002</v>
      </c>
      <c r="E121" s="119" t="s">
        <v>83</v>
      </c>
      <c r="F121" s="118"/>
      <c r="G121" s="118"/>
      <c r="H121" s="124">
        <f t="shared" si="3"/>
        <v>7.7270907463</v>
      </c>
      <c r="I121" s="118"/>
      <c r="J121" s="118"/>
      <c r="L121" s="17" t="s">
        <v>44</v>
      </c>
      <c r="M121" s="71">
        <f>[1]!b_stm07_bs(K107,95,L107,1)</f>
        <v>14281033024.450001</v>
      </c>
    </row>
    <row r="122" spans="1:21" ht="14.25" customHeight="1" x14ac:dyDescent="0.25">
      <c r="A122" s="54" t="s">
        <v>84</v>
      </c>
      <c r="B122" s="73">
        <f t="shared" si="1"/>
        <v>15.585092655899999</v>
      </c>
      <c r="C122" s="54" t="s">
        <v>85</v>
      </c>
      <c r="D122" s="76">
        <f t="shared" si="2"/>
        <v>8.3827591987000005</v>
      </c>
      <c r="E122" s="119" t="s">
        <v>86</v>
      </c>
      <c r="F122" s="118"/>
      <c r="G122" s="118"/>
      <c r="H122" s="123">
        <f t="shared" si="3"/>
        <v>305.55805754689999</v>
      </c>
      <c r="I122" s="118"/>
      <c r="J122" s="118"/>
      <c r="L122" s="17"/>
      <c r="M122" s="17"/>
    </row>
    <row r="123" spans="1:21" ht="14.25" customHeight="1" x14ac:dyDescent="0.25">
      <c r="A123" s="54" t="s">
        <v>87</v>
      </c>
      <c r="B123" s="79">
        <f t="shared" si="1"/>
        <v>699.71072850320013</v>
      </c>
      <c r="C123" s="54" t="s">
        <v>88</v>
      </c>
      <c r="D123" s="76">
        <f t="shared" si="2"/>
        <v>20.212535196199998</v>
      </c>
      <c r="E123" s="119" t="s">
        <v>89</v>
      </c>
      <c r="F123" s="118"/>
      <c r="G123" s="118"/>
      <c r="H123" s="123">
        <f t="shared" si="3"/>
        <v>27.138073739699998</v>
      </c>
      <c r="I123" s="118"/>
      <c r="J123" s="118"/>
      <c r="L123" s="17" t="s">
        <v>45</v>
      </c>
      <c r="M123" s="71">
        <f>[1]!b_stm07_bs(K107,141,L107,1)</f>
        <v>31091436097.09</v>
      </c>
    </row>
    <row r="124" spans="1:21" ht="14.25" customHeight="1" x14ac:dyDescent="0.25">
      <c r="A124" s="54" t="s">
        <v>90</v>
      </c>
      <c r="B124" s="73">
        <f t="shared" si="1"/>
        <v>100.06256316</v>
      </c>
      <c r="C124" s="54" t="s">
        <v>91</v>
      </c>
      <c r="D124" s="76">
        <f t="shared" si="2"/>
        <v>20.368190154600001</v>
      </c>
      <c r="E124" s="119" t="s">
        <v>92</v>
      </c>
      <c r="F124" s="118"/>
      <c r="G124" s="118"/>
      <c r="H124" s="123">
        <f t="shared" si="3"/>
        <v>-130.6988202432</v>
      </c>
      <c r="I124" s="118"/>
      <c r="J124" s="118"/>
      <c r="L124" s="17"/>
      <c r="M124" s="17"/>
    </row>
    <row r="125" spans="1:21" ht="27" customHeight="1" x14ac:dyDescent="0.25">
      <c r="A125" s="54" t="s">
        <v>93</v>
      </c>
      <c r="B125" s="73">
        <f t="shared" si="1"/>
        <v>1.5587528543</v>
      </c>
      <c r="C125" s="54" t="s">
        <v>35</v>
      </c>
      <c r="D125" s="76">
        <f t="shared" si="2"/>
        <v>13.2755951215</v>
      </c>
      <c r="E125" s="119" t="s">
        <v>94</v>
      </c>
      <c r="F125" s="118"/>
      <c r="G125" s="118"/>
      <c r="H125" s="124">
        <f t="shared" si="3"/>
        <v>18.461888974499999</v>
      </c>
      <c r="I125" s="118"/>
      <c r="J125" s="118"/>
      <c r="L125" s="17"/>
      <c r="M125" s="17"/>
    </row>
    <row r="126" spans="1:21" ht="16.5" customHeight="1" x14ac:dyDescent="0.25">
      <c r="A126" s="54" t="s">
        <v>95</v>
      </c>
      <c r="B126" s="73">
        <f t="shared" si="1"/>
        <v>0</v>
      </c>
      <c r="C126" s="54"/>
      <c r="D126" s="80"/>
      <c r="E126" s="119" t="s">
        <v>96</v>
      </c>
      <c r="F126" s="118"/>
      <c r="G126" s="118"/>
      <c r="H126" s="124">
        <f t="shared" si="3"/>
        <v>267.1883874243</v>
      </c>
      <c r="I126" s="118"/>
      <c r="J126" s="118"/>
      <c r="L126" s="125" t="s">
        <v>66</v>
      </c>
      <c r="M126" s="118"/>
      <c r="N126" s="125" t="s">
        <v>67</v>
      </c>
      <c r="O126" s="118"/>
      <c r="P126" s="126" t="s">
        <v>68</v>
      </c>
      <c r="Q126" s="118"/>
      <c r="R126" s="118"/>
      <c r="S126" s="121"/>
      <c r="T126" s="121"/>
      <c r="U126" s="121"/>
    </row>
    <row r="127" spans="1:21" ht="14.25" customHeight="1" x14ac:dyDescent="0.25">
      <c r="A127" s="54" t="s">
        <v>97</v>
      </c>
      <c r="B127" s="73">
        <f t="shared" si="1"/>
        <v>47.537910510699994</v>
      </c>
      <c r="C127" s="54"/>
      <c r="D127" s="80"/>
      <c r="E127" s="119" t="s">
        <v>98</v>
      </c>
      <c r="F127" s="118"/>
      <c r="G127" s="118"/>
      <c r="H127" s="124">
        <f t="shared" si="3"/>
        <v>0</v>
      </c>
      <c r="I127" s="118"/>
      <c r="J127" s="118"/>
      <c r="L127" s="54" t="s">
        <v>69</v>
      </c>
      <c r="M127" s="75">
        <f>[1]!b_stm07_bs(K107,9,L107,1)</f>
        <v>7995249717.0600004</v>
      </c>
      <c r="N127" s="54" t="s">
        <v>70</v>
      </c>
      <c r="O127" s="75">
        <f>[1]!b_stm07_is(K107,83,L107,1)</f>
        <v>28797669482.32</v>
      </c>
      <c r="P127" s="119" t="s">
        <v>71</v>
      </c>
      <c r="Q127" s="118"/>
      <c r="R127" s="118"/>
      <c r="S127" s="120">
        <f>[1]!b_stm07_cs(K107,9,L107,1)</f>
        <v>32547090159.470001</v>
      </c>
      <c r="T127" s="121"/>
      <c r="U127" s="121"/>
    </row>
    <row r="128" spans="1:21" ht="14.25" customHeight="1" x14ac:dyDescent="0.25">
      <c r="A128" s="54" t="s">
        <v>99</v>
      </c>
      <c r="B128" s="73">
        <f t="shared" si="1"/>
        <v>142.81033024449999</v>
      </c>
      <c r="C128" s="54"/>
      <c r="D128" s="80"/>
      <c r="E128" s="119" t="s">
        <v>100</v>
      </c>
      <c r="F128" s="118"/>
      <c r="G128" s="118"/>
      <c r="H128" s="123">
        <f t="shared" si="3"/>
        <v>285.65027639880003</v>
      </c>
      <c r="I128" s="118"/>
      <c r="J128" s="118"/>
      <c r="L128" s="54" t="s">
        <v>72</v>
      </c>
      <c r="M128" s="75">
        <f>[1]!b_stm07_bs(K107,12,L107,1)</f>
        <v>1177929423.47</v>
      </c>
      <c r="N128" s="54" t="s">
        <v>73</v>
      </c>
      <c r="O128" s="75">
        <f>[1]!b_stm07_is(K107,84,L107,1)</f>
        <v>28551995328.02</v>
      </c>
      <c r="P128" s="119" t="s">
        <v>74</v>
      </c>
      <c r="Q128" s="118"/>
      <c r="R128" s="118"/>
      <c r="S128" s="120">
        <f>[1]!b_stm07_cs(K107,11,L107,1)</f>
        <v>558851473.25999999</v>
      </c>
      <c r="T128" s="121"/>
      <c r="U128" s="121"/>
    </row>
    <row r="129" spans="1:21" ht="14.25" customHeight="1" x14ac:dyDescent="0.25">
      <c r="A129" s="54" t="s">
        <v>101</v>
      </c>
      <c r="B129" s="79">
        <f t="shared" si="1"/>
        <v>388.79636753230005</v>
      </c>
      <c r="C129" s="14"/>
      <c r="D129" s="13"/>
      <c r="E129" s="119" t="s">
        <v>102</v>
      </c>
      <c r="F129" s="118"/>
      <c r="G129" s="118"/>
      <c r="H129" s="124">
        <f t="shared" si="3"/>
        <v>139.21379470709999</v>
      </c>
      <c r="I129" s="118"/>
      <c r="J129" s="118"/>
      <c r="L129" s="54" t="s">
        <v>75</v>
      </c>
      <c r="M129" s="75">
        <f>[1]!b_stm07_bs(K107,13,L107,1)</f>
        <v>83167635.769999996</v>
      </c>
      <c r="N129" s="54" t="s">
        <v>76</v>
      </c>
      <c r="O129" s="75">
        <f>[1]!b_stm07_is(K107,10,L107,1)</f>
        <v>24543969511.580002</v>
      </c>
      <c r="P129" s="119" t="s">
        <v>77</v>
      </c>
      <c r="Q129" s="118"/>
      <c r="R129" s="118"/>
      <c r="S129" s="122">
        <f>[1]!b_stm07_cs(K107,25,L107,1)</f>
        <v>33269613128.66</v>
      </c>
      <c r="T129" s="121"/>
      <c r="U129" s="121"/>
    </row>
    <row r="130" spans="1:21" ht="14.25" customHeight="1" x14ac:dyDescent="0.25">
      <c r="A130" s="54" t="s">
        <v>103</v>
      </c>
      <c r="B130" s="79">
        <f t="shared" si="1"/>
        <v>310.91436097090002</v>
      </c>
      <c r="C130" s="14"/>
      <c r="D130" s="13"/>
      <c r="E130" s="119" t="s">
        <v>104</v>
      </c>
      <c r="F130" s="118"/>
      <c r="G130" s="118"/>
      <c r="H130" s="124">
        <f t="shared" si="3"/>
        <v>155.6810576961</v>
      </c>
      <c r="I130" s="118"/>
      <c r="J130" s="118"/>
      <c r="L130" s="54" t="s">
        <v>78</v>
      </c>
      <c r="M130" s="75">
        <f>[1]!b_stm07_bs(K107,31,L107,1)</f>
        <v>20121517161.049999</v>
      </c>
      <c r="N130" s="54" t="s">
        <v>79</v>
      </c>
      <c r="O130" s="75">
        <f>[1]!b_stm07_is(K107,12,L107,1)</f>
        <v>935141193.5</v>
      </c>
      <c r="P130" s="119" t="s">
        <v>80</v>
      </c>
      <c r="Q130" s="118"/>
      <c r="R130" s="118"/>
      <c r="S130" s="120">
        <f>[1]!b_stm07_cs(K107,26,L107,1)</f>
        <v>25347577880.189999</v>
      </c>
      <c r="T130" s="121"/>
      <c r="U130" s="121"/>
    </row>
    <row r="131" spans="1:21" ht="14.25" customHeight="1" x14ac:dyDescent="0.25">
      <c r="A131" s="15" t="s">
        <v>105</v>
      </c>
      <c r="B131" s="79">
        <f t="shared" si="1"/>
        <v>699.71072850320013</v>
      </c>
      <c r="C131" s="14"/>
      <c r="D131" s="13"/>
      <c r="E131" s="119" t="s">
        <v>106</v>
      </c>
      <c r="F131" s="118"/>
      <c r="G131" s="118"/>
      <c r="H131" s="123">
        <f t="shared" si="3"/>
        <v>129.9692187027</v>
      </c>
      <c r="I131" s="118"/>
      <c r="J131" s="118"/>
      <c r="L131" s="54" t="s">
        <v>81</v>
      </c>
      <c r="M131" s="75">
        <f>[1]!b_stm07_bs(K107,33,L107,1)</f>
        <v>812598567.76999998</v>
      </c>
      <c r="N131" s="54" t="s">
        <v>82</v>
      </c>
      <c r="O131" s="75">
        <f>[1]!b_stm07_is(K107,13,L107,1)</f>
        <v>1140400517.1800001</v>
      </c>
      <c r="P131" s="119" t="s">
        <v>83</v>
      </c>
      <c r="Q131" s="118"/>
      <c r="R131" s="118"/>
      <c r="S131" s="120">
        <f>[1]!b_stm07_cs(K107,29,L107,1)</f>
        <v>772709074.63</v>
      </c>
      <c r="T131" s="121"/>
      <c r="U131" s="121"/>
    </row>
    <row r="132" spans="1:21" x14ac:dyDescent="0.25">
      <c r="L132" s="54" t="s">
        <v>84</v>
      </c>
      <c r="M132" s="75">
        <f>[1]!b_stm07_bs(K107,37,L107,1)</f>
        <v>1558509265.5899999</v>
      </c>
      <c r="N132" s="54" t="s">
        <v>85</v>
      </c>
      <c r="O132" s="75">
        <f>[1]!b_stm07_is(K107,14,L107,1)</f>
        <v>838275919.87</v>
      </c>
      <c r="P132" s="119" t="s">
        <v>86</v>
      </c>
      <c r="Q132" s="118"/>
      <c r="R132" s="118"/>
      <c r="S132" s="122">
        <f>[1]!b_stm07_cs(K107,37,L107,1)</f>
        <v>30555805754.689999</v>
      </c>
      <c r="T132" s="121"/>
      <c r="U132" s="121"/>
    </row>
    <row r="133" spans="1:21" x14ac:dyDescent="0.25">
      <c r="L133" s="54" t="s">
        <v>87</v>
      </c>
      <c r="M133" s="81">
        <f>[1]!b_stm07_bs(K107,74,L107,1)</f>
        <v>69971072850.320007</v>
      </c>
      <c r="N133" s="54" t="s">
        <v>88</v>
      </c>
      <c r="O133" s="75">
        <f>[1]!b_stm07_is(K107,48,L107,1)</f>
        <v>2021253519.6199999</v>
      </c>
      <c r="P133" s="119" t="s">
        <v>89</v>
      </c>
      <c r="Q133" s="118"/>
      <c r="R133" s="118"/>
      <c r="S133" s="122">
        <f>[1]!b_stm07_cs(K107,39,L107,1)</f>
        <v>2713807373.9699998</v>
      </c>
      <c r="T133" s="121"/>
      <c r="U133" s="121"/>
    </row>
    <row r="134" spans="1:21" x14ac:dyDescent="0.25">
      <c r="L134" s="54" t="s">
        <v>90</v>
      </c>
      <c r="M134" s="75">
        <f>[1]!b_stm07_bs(K107,75,L107,1)</f>
        <v>10006256316</v>
      </c>
      <c r="N134" s="54" t="s">
        <v>91</v>
      </c>
      <c r="O134" s="75">
        <f>[1]!b_stm07_is(K107,55,L107,1)</f>
        <v>2036819015.46</v>
      </c>
      <c r="P134" s="119" t="s">
        <v>92</v>
      </c>
      <c r="Q134" s="118"/>
      <c r="R134" s="118"/>
      <c r="S134" s="122">
        <f>[1]!b_stm07_cs(K107,59,L107,1)</f>
        <v>-13069882024.32</v>
      </c>
      <c r="T134" s="121"/>
      <c r="U134" s="121"/>
    </row>
    <row r="135" spans="1:21" ht="32.4" customHeight="1" x14ac:dyDescent="0.25">
      <c r="L135" s="54" t="s">
        <v>93</v>
      </c>
      <c r="M135" s="75">
        <f>[1]!b_stm07_bs(K107,88,L107,1)</f>
        <v>155875285.43000001</v>
      </c>
      <c r="N135" s="54" t="s">
        <v>35</v>
      </c>
      <c r="O135" s="75">
        <f>[1]!b_stm07_is(K107,60,L107,1)</f>
        <v>1327559512.1500001</v>
      </c>
      <c r="P135" s="119" t="s">
        <v>94</v>
      </c>
      <c r="Q135" s="118"/>
      <c r="R135" s="118"/>
      <c r="S135" s="120">
        <f>[1]!b_stm07_cs(K107,60,L107,1)</f>
        <v>1846188897.45</v>
      </c>
      <c r="T135" s="121"/>
      <c r="U135" s="121"/>
    </row>
    <row r="136" spans="1:21" ht="21.6" customHeight="1" x14ac:dyDescent="0.25">
      <c r="L136" s="54" t="s">
        <v>95</v>
      </c>
      <c r="M136" s="75">
        <f>[1]!b_stm07_bs(K107,147,L107,1)</f>
        <v>0</v>
      </c>
      <c r="N136" s="54"/>
      <c r="O136" s="80"/>
      <c r="P136" s="119" t="s">
        <v>96</v>
      </c>
      <c r="Q136" s="118"/>
      <c r="R136" s="118"/>
      <c r="S136" s="120">
        <f>[1]!b_stm07_cs(K107,61,L107,1)</f>
        <v>26718838742.43</v>
      </c>
      <c r="T136" s="121"/>
      <c r="U136" s="121"/>
    </row>
    <row r="137" spans="1:21" x14ac:dyDescent="0.25">
      <c r="L137" s="54" t="s">
        <v>97</v>
      </c>
      <c r="M137" s="75">
        <f>[1]!b_stm07_bs(K107,94,L107,1)</f>
        <v>4753791051.0699997</v>
      </c>
      <c r="N137" s="54"/>
      <c r="O137" s="80"/>
      <c r="P137" s="119" t="s">
        <v>98</v>
      </c>
      <c r="Q137" s="118"/>
      <c r="R137" s="118"/>
      <c r="S137" s="120">
        <f>[1]!b_stm07_cs(K107,63,L107,1)</f>
        <v>0</v>
      </c>
      <c r="T137" s="121"/>
      <c r="U137" s="121"/>
    </row>
    <row r="138" spans="1:21" x14ac:dyDescent="0.25">
      <c r="L138" s="54" t="s">
        <v>99</v>
      </c>
      <c r="M138" s="75">
        <f>[1]!b_stm07_bs(K107,95,L107,1)</f>
        <v>14281033024.450001</v>
      </c>
      <c r="N138" s="54"/>
      <c r="O138" s="80"/>
      <c r="P138" s="119" t="s">
        <v>100</v>
      </c>
      <c r="Q138" s="118"/>
      <c r="R138" s="118"/>
      <c r="S138" s="122">
        <f>[1]!b_stm07_cs(K107,68,L107,1)</f>
        <v>28565027639.880001</v>
      </c>
      <c r="T138" s="121"/>
      <c r="U138" s="121"/>
    </row>
    <row r="139" spans="1:21" x14ac:dyDescent="0.25">
      <c r="L139" s="54" t="s">
        <v>101</v>
      </c>
      <c r="M139" s="81">
        <f>[1]!b_stm07_bs(K107,128,L107,1)</f>
        <v>38879636753.230003</v>
      </c>
      <c r="N139" s="14"/>
      <c r="O139" s="13"/>
      <c r="P139" s="119" t="s">
        <v>102</v>
      </c>
      <c r="Q139" s="118"/>
      <c r="R139" s="118"/>
      <c r="S139" s="120">
        <f>[1]!b_stm07_cs(K107,69,L107,1)</f>
        <v>13921379470.709999</v>
      </c>
      <c r="T139" s="121"/>
      <c r="U139" s="121"/>
    </row>
    <row r="140" spans="1:21" ht="21.6" customHeight="1" x14ac:dyDescent="0.25">
      <c r="L140" s="54" t="s">
        <v>103</v>
      </c>
      <c r="M140" s="81">
        <f>[1]!b_stm07_bs(K107,141,L107,1)</f>
        <v>31091436097.09</v>
      </c>
      <c r="N140" s="14"/>
      <c r="O140" s="13"/>
      <c r="P140" s="119" t="s">
        <v>104</v>
      </c>
      <c r="Q140" s="118"/>
      <c r="R140" s="118"/>
      <c r="S140" s="120">
        <f>[1]!b_stm07_cs(K107,75,L107,1)</f>
        <v>15568105769.610001</v>
      </c>
      <c r="T140" s="121"/>
      <c r="U140" s="121"/>
    </row>
    <row r="141" spans="1:21" ht="21.6" customHeight="1" x14ac:dyDescent="0.25">
      <c r="L141" s="15" t="s">
        <v>105</v>
      </c>
      <c r="M141" s="81">
        <f>[1]!b_stm07_bs(K107,145,L107,1)</f>
        <v>69971072850.320007</v>
      </c>
      <c r="N141" s="14"/>
      <c r="O141" s="13"/>
      <c r="P141" s="119" t="s">
        <v>106</v>
      </c>
      <c r="Q141" s="118"/>
      <c r="R141" s="118"/>
      <c r="S141" s="122">
        <f>[1]!b_stm07_cs(K107,77,L107,1)</f>
        <v>12996921870.27</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activeCell="B4" sqref="B4:G4"/>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7" t="s">
        <v>2</v>
      </c>
      <c r="B2" s="138" t="s">
        <v>222</v>
      </c>
      <c r="C2" s="133"/>
      <c r="D2" s="57" t="s">
        <v>3</v>
      </c>
      <c r="E2" s="138" t="s">
        <v>214</v>
      </c>
      <c r="F2" s="133"/>
      <c r="G2" s="133"/>
    </row>
    <row r="3" spans="1:12" ht="14.25" customHeight="1" x14ac:dyDescent="0.25">
      <c r="A3" s="57" t="s">
        <v>4</v>
      </c>
      <c r="B3" s="138" t="s">
        <v>215</v>
      </c>
      <c r="C3" s="133"/>
      <c r="D3" s="57" t="s">
        <v>5</v>
      </c>
      <c r="E3" s="138" t="s">
        <v>216</v>
      </c>
      <c r="F3" s="133"/>
      <c r="G3" s="133"/>
    </row>
    <row r="4" spans="1:12" ht="113.25" customHeight="1" x14ac:dyDescent="0.25">
      <c r="A4" s="57" t="s">
        <v>6</v>
      </c>
      <c r="B4" s="136" t="s">
        <v>217</v>
      </c>
      <c r="C4" s="133"/>
      <c r="D4" s="133"/>
      <c r="E4" s="133"/>
      <c r="F4" s="133"/>
      <c r="G4" s="133"/>
    </row>
    <row r="5" spans="1:12" ht="14.4" x14ac:dyDescent="0.25">
      <c r="A5" s="82" t="s">
        <v>107</v>
      </c>
      <c r="B5" s="141" t="s">
        <v>218</v>
      </c>
      <c r="C5" s="133"/>
      <c r="D5" s="133"/>
      <c r="E5" s="133"/>
      <c r="F5" s="142">
        <v>1</v>
      </c>
      <c r="G5" s="133"/>
    </row>
    <row r="6" spans="1:12" ht="11.25" customHeight="1" x14ac:dyDescent="0.25">
      <c r="A6" s="82" t="s">
        <v>108</v>
      </c>
      <c r="B6" s="141" t="s">
        <v>219</v>
      </c>
      <c r="C6" s="133"/>
      <c r="D6" s="133"/>
      <c r="E6" s="133"/>
      <c r="F6" s="142" t="s">
        <v>219</v>
      </c>
      <c r="G6" s="133"/>
    </row>
    <row r="7" spans="1:12" ht="11.25" customHeight="1" x14ac:dyDescent="0.25">
      <c r="A7" s="82" t="s">
        <v>109</v>
      </c>
      <c r="B7" s="141" t="s">
        <v>219</v>
      </c>
      <c r="C7" s="133"/>
      <c r="D7" s="133"/>
      <c r="E7" s="133"/>
      <c r="F7" s="142" t="s">
        <v>219</v>
      </c>
      <c r="G7" s="133"/>
    </row>
    <row r="8" spans="1:12" ht="11.25" customHeight="1" x14ac:dyDescent="0.25">
      <c r="A8" s="82" t="s">
        <v>110</v>
      </c>
      <c r="B8" s="141" t="s">
        <v>219</v>
      </c>
      <c r="C8" s="133"/>
      <c r="D8" s="133"/>
      <c r="E8" s="133"/>
      <c r="F8" s="142" t="s">
        <v>219</v>
      </c>
      <c r="G8" s="133"/>
    </row>
    <row r="9" spans="1:12" ht="11.25" customHeight="1" x14ac:dyDescent="0.25">
      <c r="A9" s="82" t="s">
        <v>111</v>
      </c>
      <c r="B9" s="141" t="s">
        <v>219</v>
      </c>
      <c r="C9" s="133"/>
      <c r="D9" s="133"/>
      <c r="E9" s="133"/>
      <c r="F9" s="142" t="s">
        <v>219</v>
      </c>
      <c r="G9" s="133"/>
    </row>
    <row r="11" spans="1:12" ht="14.4" customHeight="1" x14ac:dyDescent="0.25">
      <c r="A11" s="140" t="s">
        <v>112</v>
      </c>
      <c r="B11" s="133"/>
      <c r="C11" s="133"/>
      <c r="D11" s="133"/>
      <c r="E11" s="133"/>
      <c r="F11" s="133"/>
      <c r="G11" s="133"/>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2.69</v>
      </c>
      <c r="E13" s="64">
        <v>0.72876712328767124</v>
      </c>
      <c r="F13" s="65">
        <v>0</v>
      </c>
      <c r="G13" s="64">
        <v>10</v>
      </c>
    </row>
    <row r="14" spans="1:12" ht="14.4" customHeight="1" x14ac:dyDescent="0.25">
      <c r="A14" t="s">
        <v>116</v>
      </c>
      <c r="B14" t="s">
        <v>117</v>
      </c>
      <c r="C14" t="s">
        <v>118</v>
      </c>
      <c r="D14" s="64">
        <v>3.7</v>
      </c>
      <c r="E14" s="83">
        <v>0.23013698630136986</v>
      </c>
      <c r="F14">
        <v>0</v>
      </c>
      <c r="G14" s="64">
        <v>5</v>
      </c>
    </row>
    <row r="15" spans="1:12" ht="14.4" customHeight="1" x14ac:dyDescent="0.25">
      <c r="A15" t="s">
        <v>119</v>
      </c>
      <c r="B15" t="s">
        <v>120</v>
      </c>
      <c r="C15" t="s">
        <v>121</v>
      </c>
      <c r="D15" s="64">
        <v>4.84</v>
      </c>
      <c r="E15" s="83">
        <v>4.0082191780821921</v>
      </c>
      <c r="F15" t="s">
        <v>148</v>
      </c>
      <c r="G15" s="64">
        <v>22</v>
      </c>
    </row>
    <row r="16" spans="1:12" ht="14.4" customHeight="1" x14ac:dyDescent="0.25">
      <c r="A16" t="s">
        <v>122</v>
      </c>
      <c r="B16" t="s">
        <v>123</v>
      </c>
      <c r="C16" t="s">
        <v>124</v>
      </c>
      <c r="D16" s="64">
        <v>4.7</v>
      </c>
      <c r="E16" s="83">
        <v>3.0273972602739727</v>
      </c>
      <c r="F16" t="s">
        <v>148</v>
      </c>
      <c r="G16" s="64">
        <v>30</v>
      </c>
    </row>
    <row r="17" spans="1:7" ht="14.4" customHeight="1" x14ac:dyDescent="0.25">
      <c r="A17" t="s">
        <v>125</v>
      </c>
      <c r="B17" t="s">
        <v>126</v>
      </c>
      <c r="C17" t="s">
        <v>127</v>
      </c>
      <c r="D17" s="64">
        <v>3.28</v>
      </c>
      <c r="E17" s="83">
        <v>2.602739726027397</v>
      </c>
      <c r="F17" t="s">
        <v>148</v>
      </c>
      <c r="G17" s="64">
        <v>30</v>
      </c>
    </row>
    <row r="18" spans="1:7" ht="14.4" customHeight="1" x14ac:dyDescent="0.25">
      <c r="A18" t="s">
        <v>128</v>
      </c>
      <c r="B18" t="s">
        <v>129</v>
      </c>
      <c r="C18" t="s">
        <v>130</v>
      </c>
      <c r="D18" s="64">
        <v>3.68</v>
      </c>
      <c r="E18" s="83">
        <v>0</v>
      </c>
      <c r="F18">
        <v>0</v>
      </c>
      <c r="G18" s="64">
        <v>25</v>
      </c>
    </row>
    <row r="19" spans="1:7" ht="14.4" customHeight="1" x14ac:dyDescent="0.25">
      <c r="A19" t="s">
        <v>131</v>
      </c>
      <c r="B19" t="s">
        <v>132</v>
      </c>
      <c r="C19" t="s">
        <v>133</v>
      </c>
      <c r="D19" s="64">
        <v>3.48</v>
      </c>
      <c r="E19" s="83">
        <v>0</v>
      </c>
      <c r="F19">
        <v>0</v>
      </c>
      <c r="G19" s="64">
        <v>30</v>
      </c>
    </row>
    <row r="20" spans="1:7" ht="14.4" customHeight="1" x14ac:dyDescent="0.25">
      <c r="A20" t="s">
        <v>134</v>
      </c>
      <c r="B20" t="s">
        <v>135</v>
      </c>
      <c r="C20" t="s">
        <v>136</v>
      </c>
      <c r="D20" s="64">
        <v>4.95</v>
      </c>
      <c r="E20" s="83">
        <v>0</v>
      </c>
      <c r="F20">
        <v>0</v>
      </c>
      <c r="G20" s="64">
        <v>70</v>
      </c>
    </row>
    <row r="21" spans="1:7" ht="14.4" customHeight="1" x14ac:dyDescent="0.25">
      <c r="A21" t="s">
        <v>137</v>
      </c>
      <c r="B21" t="s">
        <v>138</v>
      </c>
      <c r="C21" t="s">
        <v>139</v>
      </c>
      <c r="D21" s="64"/>
      <c r="E21" s="83">
        <v>0</v>
      </c>
      <c r="F21" t="s">
        <v>220</v>
      </c>
      <c r="G21" s="64">
        <v>5</v>
      </c>
    </row>
    <row r="22" spans="1:7" ht="14.4" customHeight="1" x14ac:dyDescent="0.25">
      <c r="A22" t="s">
        <v>140</v>
      </c>
      <c r="B22" t="s">
        <v>138</v>
      </c>
      <c r="C22" t="s">
        <v>141</v>
      </c>
      <c r="D22" s="64"/>
      <c r="E22" s="83">
        <v>0</v>
      </c>
      <c r="F22" t="s">
        <v>221</v>
      </c>
      <c r="G22" s="64">
        <v>10</v>
      </c>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A28" s="139" t="s">
        <v>142</v>
      </c>
      <c r="B28" s="139"/>
      <c r="C28" s="139"/>
      <c r="D28" s="139"/>
      <c r="E28" s="83"/>
      <c r="G28" s="64"/>
    </row>
    <row r="29" spans="1:7" ht="14.4" customHeight="1" x14ac:dyDescent="0.25">
      <c r="A29" s="84" t="s">
        <v>143</v>
      </c>
      <c r="B29" s="84" t="s">
        <v>144</v>
      </c>
      <c r="C29" s="84" t="s">
        <v>145</v>
      </c>
      <c r="D29" s="85" t="s">
        <v>146</v>
      </c>
      <c r="E29" s="83"/>
      <c r="G29" s="64"/>
    </row>
    <row r="30" spans="1:7" ht="14.4" customHeight="1" x14ac:dyDescent="0.25">
      <c r="A30" t="s">
        <v>147</v>
      </c>
      <c r="B30" t="s">
        <v>148</v>
      </c>
      <c r="C30" t="s">
        <v>149</v>
      </c>
      <c r="D30" s="64" t="s">
        <v>150</v>
      </c>
      <c r="E30" s="83"/>
      <c r="G30" s="64"/>
    </row>
    <row r="31" spans="1:7" ht="14.4" customHeight="1" x14ac:dyDescent="0.25">
      <c r="A31" t="s">
        <v>151</v>
      </c>
      <c r="B31" t="s">
        <v>148</v>
      </c>
      <c r="C31" t="s">
        <v>149</v>
      </c>
      <c r="D31" s="64" t="s">
        <v>152</v>
      </c>
      <c r="E31" s="83"/>
      <c r="G31" s="64"/>
    </row>
    <row r="32" spans="1:7" ht="14.4" customHeight="1" x14ac:dyDescent="0.25">
      <c r="A32" t="s">
        <v>153</v>
      </c>
      <c r="B32" t="s">
        <v>148</v>
      </c>
      <c r="C32" t="s">
        <v>149</v>
      </c>
      <c r="D32" s="64" t="s">
        <v>152</v>
      </c>
      <c r="E32" s="83"/>
      <c r="G32" s="64"/>
    </row>
    <row r="33" spans="1:7" ht="14.4" customHeight="1" x14ac:dyDescent="0.25">
      <c r="A33" t="s">
        <v>154</v>
      </c>
      <c r="B33" t="s">
        <v>148</v>
      </c>
      <c r="C33" t="s">
        <v>149</v>
      </c>
      <c r="D33" s="64" t="s">
        <v>152</v>
      </c>
      <c r="E33" s="83"/>
      <c r="G33" s="64"/>
    </row>
    <row r="34" spans="1:7" ht="14.4" customHeight="1" x14ac:dyDescent="0.25">
      <c r="A34" t="s">
        <v>155</v>
      </c>
      <c r="B34" t="s">
        <v>148</v>
      </c>
      <c r="C34" t="s">
        <v>149</v>
      </c>
      <c r="D34" s="64" t="s">
        <v>152</v>
      </c>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156</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28:D28"/>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13" sqref="D13"/>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6" t="s">
        <v>46</v>
      </c>
      <c r="B1" s="133"/>
      <c r="C1" s="133"/>
      <c r="D1" s="133"/>
      <c r="E1" s="133"/>
      <c r="F1" s="133"/>
      <c r="G1" s="133"/>
      <c r="H1" s="133"/>
      <c r="I1" s="133"/>
      <c r="J1" s="133"/>
    </row>
    <row r="2" spans="1:10" x14ac:dyDescent="0.25">
      <c r="A2" s="140" t="s">
        <v>47</v>
      </c>
      <c r="B2" s="133"/>
      <c r="C2" s="133"/>
      <c r="D2" s="133"/>
      <c r="E2" s="133"/>
      <c r="F2" s="133"/>
      <c r="G2" s="148">
        <v>2017</v>
      </c>
      <c r="H2" s="133"/>
      <c r="I2" s="133"/>
      <c r="J2" s="133"/>
    </row>
    <row r="3" spans="1:10" ht="12.75" customHeight="1" x14ac:dyDescent="0.25">
      <c r="A3" s="140" t="s">
        <v>48</v>
      </c>
      <c r="B3" s="133"/>
      <c r="C3" s="140" t="s">
        <v>49</v>
      </c>
      <c r="D3" s="133"/>
      <c r="E3" s="140" t="s">
        <v>50</v>
      </c>
      <c r="F3" s="133"/>
      <c r="G3" s="140" t="s">
        <v>51</v>
      </c>
      <c r="H3" s="133"/>
      <c r="I3" s="140" t="s">
        <v>52</v>
      </c>
      <c r="J3" s="133"/>
    </row>
    <row r="4" spans="1:10" ht="21.6" customHeight="1" x14ac:dyDescent="0.25">
      <c r="A4" s="57" t="s">
        <v>53</v>
      </c>
      <c r="B4" s="86">
        <v>0.55565299999999995</v>
      </c>
      <c r="C4" s="57" t="s">
        <v>29</v>
      </c>
      <c r="D4" s="87">
        <v>1.1560999999999999</v>
      </c>
      <c r="E4" s="57" t="s">
        <v>33</v>
      </c>
      <c r="F4" s="86">
        <v>1.1359999999999999</v>
      </c>
      <c r="G4" s="57" t="s">
        <v>34</v>
      </c>
      <c r="H4" s="86">
        <v>0.14336000000000002</v>
      </c>
      <c r="I4" s="57"/>
      <c r="J4" s="88"/>
    </row>
    <row r="5" spans="1:10" ht="15.75" customHeight="1" x14ac:dyDescent="0.25">
      <c r="A5" s="57" t="s">
        <v>54</v>
      </c>
      <c r="B5" s="86">
        <v>0.27226</v>
      </c>
      <c r="C5" s="57" t="s">
        <v>55</v>
      </c>
      <c r="D5" s="87">
        <v>1.0145</v>
      </c>
      <c r="E5" s="57" t="s">
        <v>56</v>
      </c>
      <c r="F5" s="87">
        <v>23.751100000000001</v>
      </c>
      <c r="G5" s="57" t="s">
        <v>57</v>
      </c>
      <c r="H5" s="86">
        <v>7.0188E-2</v>
      </c>
      <c r="I5" s="57"/>
      <c r="J5" s="88"/>
    </row>
    <row r="6" spans="1:10" ht="15" customHeight="1" x14ac:dyDescent="0.25">
      <c r="A6" s="57" t="s">
        <v>58</v>
      </c>
      <c r="B6" s="86">
        <v>0.42382399999999998</v>
      </c>
      <c r="C6" s="57" t="s">
        <v>31</v>
      </c>
      <c r="D6" s="89">
        <v>0.10979999999999999</v>
      </c>
      <c r="E6" s="57" t="s">
        <v>59</v>
      </c>
      <c r="F6" s="87">
        <v>10.195600000000001</v>
      </c>
      <c r="G6" s="57" t="s">
        <v>37</v>
      </c>
      <c r="H6" s="86">
        <v>4.2374999999999996E-2</v>
      </c>
      <c r="I6" s="57"/>
      <c r="J6" s="88"/>
    </row>
    <row r="7" spans="1:10" ht="14.25" customHeight="1" x14ac:dyDescent="0.25">
      <c r="A7" s="57" t="s">
        <v>30</v>
      </c>
      <c r="B7" s="89">
        <v>0.94994211050496735</v>
      </c>
      <c r="C7" s="57" t="s">
        <v>60</v>
      </c>
      <c r="D7" s="89">
        <v>3.5247000000000002</v>
      </c>
      <c r="E7" s="57" t="s">
        <v>61</v>
      </c>
      <c r="F7" s="87">
        <v>1.8170999999999999</v>
      </c>
      <c r="G7" s="57" t="s">
        <v>62</v>
      </c>
      <c r="H7" s="86">
        <v>4.5838999999999998E-2</v>
      </c>
      <c r="I7" s="57"/>
      <c r="J7" s="88"/>
    </row>
    <row r="8" spans="1:10" x14ac:dyDescent="0.25">
      <c r="A8" s="57"/>
      <c r="B8" s="90"/>
      <c r="C8" s="57"/>
      <c r="D8" s="91"/>
      <c r="E8" s="57" t="s">
        <v>63</v>
      </c>
      <c r="F8" s="87">
        <v>0.4642</v>
      </c>
      <c r="G8" s="57"/>
      <c r="H8" s="90"/>
      <c r="I8" s="57"/>
      <c r="J8" s="90"/>
    </row>
    <row r="9" spans="1:10" ht="13.5" customHeight="1" x14ac:dyDescent="0.25">
      <c r="A9" s="146" t="s">
        <v>64</v>
      </c>
      <c r="B9" s="133"/>
      <c r="C9" s="133"/>
      <c r="D9" s="133"/>
      <c r="E9" s="133"/>
      <c r="F9" s="133"/>
      <c r="G9" s="133"/>
      <c r="H9" s="133"/>
      <c r="I9" s="133"/>
      <c r="J9" s="133"/>
    </row>
    <row r="10" spans="1:10" ht="13.5" customHeight="1" x14ac:dyDescent="0.25">
      <c r="A10" s="140" t="s">
        <v>65</v>
      </c>
      <c r="B10" s="133"/>
      <c r="C10" s="133"/>
      <c r="D10" s="133"/>
      <c r="E10" s="133"/>
      <c r="F10" s="133"/>
      <c r="G10" s="147">
        <v>2017</v>
      </c>
      <c r="H10" s="133"/>
      <c r="I10" s="133"/>
      <c r="J10" s="133"/>
    </row>
    <row r="11" spans="1:10" x14ac:dyDescent="0.25">
      <c r="A11" s="140" t="s">
        <v>66</v>
      </c>
      <c r="B11" s="133"/>
      <c r="C11" s="140" t="s">
        <v>67</v>
      </c>
      <c r="D11" s="133"/>
      <c r="E11" s="140" t="s">
        <v>68</v>
      </c>
      <c r="F11" s="133"/>
      <c r="G11" s="133"/>
      <c r="H11" s="133"/>
      <c r="I11" s="133"/>
      <c r="J11" s="133"/>
    </row>
    <row r="12" spans="1:10" ht="14.25" customHeight="1" x14ac:dyDescent="0.25">
      <c r="A12" s="57" t="s">
        <v>69</v>
      </c>
      <c r="B12" s="92">
        <v>79.952497170599997</v>
      </c>
      <c r="C12" s="57" t="s">
        <v>70</v>
      </c>
      <c r="D12" s="89">
        <v>287.97669482319998</v>
      </c>
      <c r="E12" s="144" t="s">
        <v>71</v>
      </c>
      <c r="F12" s="133"/>
      <c r="G12" s="133"/>
      <c r="H12" s="145">
        <v>325.47090159470002</v>
      </c>
      <c r="I12" s="133"/>
      <c r="J12" s="133"/>
    </row>
    <row r="13" spans="1:10" ht="14.25" customHeight="1" x14ac:dyDescent="0.25">
      <c r="A13" s="57" t="s">
        <v>72</v>
      </c>
      <c r="B13" s="92">
        <v>11.7792942347</v>
      </c>
      <c r="C13" s="57" t="s">
        <v>73</v>
      </c>
      <c r="D13" s="89">
        <v>285.51995328020001</v>
      </c>
      <c r="E13" s="144" t="s">
        <v>74</v>
      </c>
      <c r="F13" s="133"/>
      <c r="G13" s="133"/>
      <c r="H13" s="145">
        <v>5.5885147326000002</v>
      </c>
      <c r="I13" s="133"/>
      <c r="J13" s="133"/>
    </row>
    <row r="14" spans="1:10" ht="14.25" customHeight="1" x14ac:dyDescent="0.25">
      <c r="A14" s="57" t="s">
        <v>75</v>
      </c>
      <c r="B14" s="92">
        <v>0.83167635769999992</v>
      </c>
      <c r="C14" s="57" t="s">
        <v>76</v>
      </c>
      <c r="D14" s="89">
        <v>245.43969511580002</v>
      </c>
      <c r="E14" s="144" t="s">
        <v>77</v>
      </c>
      <c r="F14" s="133"/>
      <c r="G14" s="133"/>
      <c r="H14" s="145">
        <v>332.69613128660001</v>
      </c>
      <c r="I14" s="133"/>
      <c r="J14" s="133"/>
    </row>
    <row r="15" spans="1:10" ht="14.25" customHeight="1" x14ac:dyDescent="0.25">
      <c r="A15" s="57" t="s">
        <v>78</v>
      </c>
      <c r="B15" s="92">
        <v>201.21517161049999</v>
      </c>
      <c r="C15" s="57" t="s">
        <v>79</v>
      </c>
      <c r="D15" s="89">
        <v>9.3514119349999998</v>
      </c>
      <c r="E15" s="144" t="s">
        <v>80</v>
      </c>
      <c r="F15" s="133"/>
      <c r="G15" s="133"/>
      <c r="H15" s="145">
        <v>253.47577880189999</v>
      </c>
      <c r="I15" s="133"/>
      <c r="J15" s="133"/>
    </row>
    <row r="16" spans="1:10" ht="14.25" customHeight="1" x14ac:dyDescent="0.25">
      <c r="A16" s="57" t="s">
        <v>81</v>
      </c>
      <c r="B16" s="92">
        <v>8.1259856776999992</v>
      </c>
      <c r="C16" s="57" t="s">
        <v>82</v>
      </c>
      <c r="D16" s="89">
        <v>11.404005171800002</v>
      </c>
      <c r="E16" s="144" t="s">
        <v>83</v>
      </c>
      <c r="F16" s="133"/>
      <c r="G16" s="133"/>
      <c r="H16" s="145">
        <v>7.7270907463</v>
      </c>
      <c r="I16" s="133"/>
      <c r="J16" s="133"/>
    </row>
    <row r="17" spans="1:10" ht="14.25" customHeight="1" x14ac:dyDescent="0.25">
      <c r="A17" s="57" t="s">
        <v>84</v>
      </c>
      <c r="B17" s="92">
        <v>15.585092655899999</v>
      </c>
      <c r="C17" s="57" t="s">
        <v>85</v>
      </c>
      <c r="D17" s="89">
        <v>8.3827591987000005</v>
      </c>
      <c r="E17" s="144" t="s">
        <v>86</v>
      </c>
      <c r="F17" s="133"/>
      <c r="G17" s="133"/>
      <c r="H17" s="145">
        <v>305.55805754689999</v>
      </c>
      <c r="I17" s="133"/>
      <c r="J17" s="133"/>
    </row>
    <row r="18" spans="1:10" ht="14.25" customHeight="1" x14ac:dyDescent="0.25">
      <c r="A18" s="57" t="s">
        <v>87</v>
      </c>
      <c r="B18" s="92">
        <v>699.71072850320013</v>
      </c>
      <c r="C18" s="57" t="s">
        <v>88</v>
      </c>
      <c r="D18" s="89">
        <v>20.212535196199998</v>
      </c>
      <c r="E18" s="144" t="s">
        <v>89</v>
      </c>
      <c r="F18" s="133"/>
      <c r="G18" s="133"/>
      <c r="H18" s="145">
        <v>27.138073739699998</v>
      </c>
      <c r="I18" s="133"/>
      <c r="J18" s="133"/>
    </row>
    <row r="19" spans="1:10" ht="14.25" customHeight="1" x14ac:dyDescent="0.25">
      <c r="A19" s="57" t="s">
        <v>90</v>
      </c>
      <c r="B19" s="92">
        <v>100.06256316</v>
      </c>
      <c r="C19" s="57" t="s">
        <v>91</v>
      </c>
      <c r="D19" s="89">
        <v>20.368190154600001</v>
      </c>
      <c r="E19" s="144" t="s">
        <v>92</v>
      </c>
      <c r="F19" s="133"/>
      <c r="G19" s="133"/>
      <c r="H19" s="145">
        <v>-130.6988202432</v>
      </c>
      <c r="I19" s="133"/>
      <c r="J19" s="133"/>
    </row>
    <row r="20" spans="1:10" ht="27" customHeight="1" x14ac:dyDescent="0.25">
      <c r="A20" s="57" t="s">
        <v>93</v>
      </c>
      <c r="B20" s="92">
        <v>1.5587528543</v>
      </c>
      <c r="C20" s="57" t="s">
        <v>35</v>
      </c>
      <c r="D20" s="89">
        <v>13.2755951215</v>
      </c>
      <c r="E20" s="144" t="s">
        <v>94</v>
      </c>
      <c r="F20" s="133"/>
      <c r="G20" s="133"/>
      <c r="H20" s="145">
        <v>18.461888974499999</v>
      </c>
      <c r="I20" s="133"/>
      <c r="J20" s="133"/>
    </row>
    <row r="21" spans="1:10" ht="16.5" customHeight="1" x14ac:dyDescent="0.25">
      <c r="A21" s="57" t="s">
        <v>95</v>
      </c>
      <c r="B21" s="92">
        <v>0</v>
      </c>
      <c r="C21" s="57"/>
      <c r="D21" s="93"/>
      <c r="E21" s="144" t="s">
        <v>96</v>
      </c>
      <c r="F21" s="133"/>
      <c r="G21" s="133"/>
      <c r="H21" s="145">
        <v>267.1883874243</v>
      </c>
      <c r="I21" s="133"/>
      <c r="J21" s="133"/>
    </row>
    <row r="22" spans="1:10" ht="14.25" customHeight="1" x14ac:dyDescent="0.25">
      <c r="A22" s="57" t="s">
        <v>97</v>
      </c>
      <c r="B22" s="92">
        <v>47.537910510699994</v>
      </c>
      <c r="C22" s="57"/>
      <c r="D22" s="93"/>
      <c r="E22" s="144" t="s">
        <v>98</v>
      </c>
      <c r="F22" s="133"/>
      <c r="G22" s="133"/>
      <c r="H22" s="145">
        <v>0</v>
      </c>
      <c r="I22" s="133"/>
      <c r="J22" s="133"/>
    </row>
    <row r="23" spans="1:10" ht="14.25" customHeight="1" x14ac:dyDescent="0.25">
      <c r="A23" s="57" t="s">
        <v>99</v>
      </c>
      <c r="B23" s="92">
        <v>142.81033024449999</v>
      </c>
      <c r="C23" s="57"/>
      <c r="D23" s="93"/>
      <c r="E23" s="144" t="s">
        <v>100</v>
      </c>
      <c r="F23" s="133"/>
      <c r="G23" s="133"/>
      <c r="H23" s="145">
        <v>285.65027639880003</v>
      </c>
      <c r="I23" s="133"/>
      <c r="J23" s="133"/>
    </row>
    <row r="24" spans="1:10" ht="14.25" customHeight="1" x14ac:dyDescent="0.25">
      <c r="A24" s="57" t="s">
        <v>101</v>
      </c>
      <c r="B24" s="92">
        <v>388.79636753230005</v>
      </c>
      <c r="C24" s="94"/>
      <c r="D24" s="91"/>
      <c r="E24" s="144" t="s">
        <v>102</v>
      </c>
      <c r="F24" s="133"/>
      <c r="G24" s="133"/>
      <c r="H24" s="145">
        <v>139.21379470709999</v>
      </c>
      <c r="I24" s="133"/>
      <c r="J24" s="133"/>
    </row>
    <row r="25" spans="1:10" ht="14.25" customHeight="1" x14ac:dyDescent="0.25">
      <c r="A25" s="57" t="s">
        <v>103</v>
      </c>
      <c r="B25" s="92">
        <v>310.91436097090002</v>
      </c>
      <c r="C25" s="94"/>
      <c r="D25" s="91"/>
      <c r="E25" s="144" t="s">
        <v>104</v>
      </c>
      <c r="F25" s="133"/>
      <c r="G25" s="133"/>
      <c r="H25" s="145">
        <v>155.6810576961</v>
      </c>
      <c r="I25" s="133"/>
      <c r="J25" s="133"/>
    </row>
    <row r="26" spans="1:10" ht="14.25" customHeight="1" x14ac:dyDescent="0.25">
      <c r="A26" s="95" t="s">
        <v>105</v>
      </c>
      <c r="B26" s="92">
        <v>699.71072850320013</v>
      </c>
      <c r="C26" s="94"/>
      <c r="D26" s="91"/>
      <c r="E26" s="144" t="s">
        <v>106</v>
      </c>
      <c r="F26" s="133"/>
      <c r="G26" s="133"/>
      <c r="H26" s="145">
        <v>129.9692187027</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3" sqref="B3"/>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7" t="s">
        <v>157</v>
      </c>
      <c r="B1" s="118"/>
      <c r="C1" s="118"/>
      <c r="D1" s="118"/>
      <c r="E1" s="118"/>
      <c r="F1" s="118"/>
      <c r="G1" s="118"/>
      <c r="H1" s="118"/>
      <c r="I1" s="118"/>
    </row>
    <row r="2" spans="1:10" ht="46.5" customHeight="1" x14ac:dyDescent="0.25">
      <c r="A2" s="54" t="s">
        <v>22</v>
      </c>
      <c r="B2" s="43" t="s">
        <v>222</v>
      </c>
      <c r="C2" s="43" t="s">
        <v>158</v>
      </c>
      <c r="D2" s="43" t="s">
        <v>219</v>
      </c>
      <c r="E2" s="43" t="s">
        <v>219</v>
      </c>
      <c r="F2" s="43" t="s">
        <v>219</v>
      </c>
      <c r="G2" s="43" t="s">
        <v>219</v>
      </c>
      <c r="H2" s="43" t="s">
        <v>219</v>
      </c>
      <c r="I2" s="43" t="s">
        <v>219</v>
      </c>
      <c r="J2" s="43" t="s">
        <v>219</v>
      </c>
    </row>
    <row r="3" spans="1:10" x14ac:dyDescent="0.25">
      <c r="A3" s="54" t="s">
        <v>23</v>
      </c>
      <c r="B3" s="97">
        <v>0</v>
      </c>
      <c r="C3" s="98" t="s">
        <v>159</v>
      </c>
      <c r="D3" s="97" t="s">
        <v>219</v>
      </c>
      <c r="E3" s="97" t="s">
        <v>219</v>
      </c>
      <c r="F3" s="97" t="s">
        <v>219</v>
      </c>
      <c r="G3" s="97" t="s">
        <v>219</v>
      </c>
      <c r="H3" s="97" t="s">
        <v>219</v>
      </c>
      <c r="I3" s="97" t="s">
        <v>219</v>
      </c>
      <c r="J3" s="97" t="s">
        <v>219</v>
      </c>
    </row>
    <row r="4" spans="1:10" s="7" customFormat="1" ht="21.6" x14ac:dyDescent="0.25">
      <c r="A4" s="9" t="s">
        <v>3</v>
      </c>
      <c r="B4" s="99" t="s">
        <v>214</v>
      </c>
      <c r="C4" s="98" t="s">
        <v>159</v>
      </c>
      <c r="D4" s="99" t="s">
        <v>219</v>
      </c>
      <c r="E4" s="99" t="s">
        <v>219</v>
      </c>
      <c r="F4" s="99" t="s">
        <v>219</v>
      </c>
      <c r="G4" s="99" t="s">
        <v>219</v>
      </c>
      <c r="H4" s="99" t="s">
        <v>219</v>
      </c>
      <c r="I4" s="99" t="s">
        <v>219</v>
      </c>
      <c r="J4" s="99" t="s">
        <v>219</v>
      </c>
    </row>
    <row r="5" spans="1:10" s="7" customFormat="1" x14ac:dyDescent="0.25">
      <c r="A5" s="9" t="s">
        <v>25</v>
      </c>
      <c r="B5" s="100" t="s">
        <v>26</v>
      </c>
      <c r="C5" s="98" t="s">
        <v>159</v>
      </c>
      <c r="D5" s="100" t="s">
        <v>219</v>
      </c>
      <c r="E5" s="100" t="s">
        <v>219</v>
      </c>
      <c r="F5" s="100" t="s">
        <v>219</v>
      </c>
      <c r="G5" s="100" t="s">
        <v>219</v>
      </c>
      <c r="H5" s="100" t="s">
        <v>219</v>
      </c>
      <c r="I5" s="100" t="s">
        <v>219</v>
      </c>
      <c r="J5" s="100" t="s">
        <v>219</v>
      </c>
    </row>
    <row r="6" spans="1:10" x14ac:dyDescent="0.25">
      <c r="A6" s="54" t="s">
        <v>27</v>
      </c>
      <c r="B6" s="101">
        <v>699.71072850320013</v>
      </c>
      <c r="C6" s="98" t="s">
        <v>159</v>
      </c>
      <c r="D6" s="101" t="s">
        <v>219</v>
      </c>
      <c r="E6" s="101" t="s">
        <v>219</v>
      </c>
      <c r="F6" s="101" t="s">
        <v>219</v>
      </c>
      <c r="G6" s="101" t="s">
        <v>219</v>
      </c>
      <c r="H6" s="101" t="s">
        <v>219</v>
      </c>
      <c r="I6" s="101" t="s">
        <v>219</v>
      </c>
      <c r="J6" s="101" t="s">
        <v>219</v>
      </c>
    </row>
    <row r="7" spans="1:10" x14ac:dyDescent="0.25">
      <c r="A7" s="54" t="s">
        <v>28</v>
      </c>
      <c r="B7" s="44">
        <v>0.55565299999999995</v>
      </c>
      <c r="C7" s="98" t="s">
        <v>159</v>
      </c>
      <c r="D7" s="44" t="s">
        <v>219</v>
      </c>
      <c r="E7" s="44" t="s">
        <v>219</v>
      </c>
      <c r="F7" s="44" t="s">
        <v>219</v>
      </c>
      <c r="G7" s="44" t="s">
        <v>219</v>
      </c>
      <c r="H7" s="44" t="s">
        <v>219</v>
      </c>
      <c r="I7" s="44" t="s">
        <v>219</v>
      </c>
      <c r="J7" s="44" t="s">
        <v>219</v>
      </c>
    </row>
    <row r="8" spans="1:10" x14ac:dyDescent="0.25">
      <c r="A8" s="54" t="s">
        <v>29</v>
      </c>
      <c r="B8" s="101">
        <v>1.1560999999999999</v>
      </c>
      <c r="C8" s="98" t="s">
        <v>159</v>
      </c>
      <c r="D8" s="101" t="s">
        <v>219</v>
      </c>
      <c r="E8" s="101" t="s">
        <v>219</v>
      </c>
      <c r="F8" s="101" t="s">
        <v>219</v>
      </c>
      <c r="G8" s="101" t="s">
        <v>219</v>
      </c>
      <c r="H8" s="101" t="s">
        <v>219</v>
      </c>
      <c r="I8" s="101" t="s">
        <v>219</v>
      </c>
      <c r="J8" s="101" t="s">
        <v>219</v>
      </c>
    </row>
    <row r="9" spans="1:10" x14ac:dyDescent="0.25">
      <c r="A9" s="54" t="s">
        <v>30</v>
      </c>
      <c r="B9" s="97">
        <v>0.94994211050496735</v>
      </c>
      <c r="C9" s="98" t="s">
        <v>159</v>
      </c>
      <c r="D9" s="97" t="s">
        <v>219</v>
      </c>
      <c r="E9" s="97" t="s">
        <v>219</v>
      </c>
      <c r="F9" s="97" t="s">
        <v>219</v>
      </c>
      <c r="G9" s="97" t="s">
        <v>219</v>
      </c>
      <c r="H9" s="97" t="s">
        <v>219</v>
      </c>
      <c r="I9" s="97" t="s">
        <v>219</v>
      </c>
      <c r="J9" s="97" t="s">
        <v>219</v>
      </c>
    </row>
    <row r="10" spans="1:10" ht="21.6" customHeight="1" x14ac:dyDescent="0.25">
      <c r="A10" s="54" t="s">
        <v>31</v>
      </c>
      <c r="B10" s="101">
        <v>0.10979999999999999</v>
      </c>
      <c r="C10" s="98" t="s">
        <v>159</v>
      </c>
      <c r="D10" s="101" t="s">
        <v>219</v>
      </c>
      <c r="E10" s="101" t="s">
        <v>219</v>
      </c>
      <c r="F10" s="101" t="s">
        <v>219</v>
      </c>
      <c r="G10" s="101" t="s">
        <v>219</v>
      </c>
      <c r="H10" s="101" t="s">
        <v>219</v>
      </c>
      <c r="I10" s="101" t="s">
        <v>219</v>
      </c>
      <c r="J10" s="101" t="s">
        <v>219</v>
      </c>
    </row>
    <row r="11" spans="1:10" x14ac:dyDescent="0.25">
      <c r="A11" s="54" t="s">
        <v>32</v>
      </c>
      <c r="B11" s="101">
        <v>286.51447129090002</v>
      </c>
      <c r="C11" s="98" t="s">
        <v>159</v>
      </c>
      <c r="D11" s="101" t="s">
        <v>219</v>
      </c>
      <c r="E11" s="101" t="s">
        <v>219</v>
      </c>
      <c r="F11" s="101" t="s">
        <v>219</v>
      </c>
      <c r="G11" s="101" t="s">
        <v>219</v>
      </c>
      <c r="H11" s="101" t="s">
        <v>219</v>
      </c>
      <c r="I11" s="101" t="s">
        <v>219</v>
      </c>
      <c r="J11" s="101" t="s">
        <v>219</v>
      </c>
    </row>
    <row r="12" spans="1:10" s="7" customFormat="1" x14ac:dyDescent="0.25">
      <c r="A12" s="9" t="s">
        <v>33</v>
      </c>
      <c r="B12" s="45">
        <v>1.1359999999999999</v>
      </c>
      <c r="C12" s="98" t="s">
        <v>159</v>
      </c>
      <c r="D12" s="45" t="s">
        <v>219</v>
      </c>
      <c r="E12" s="45" t="s">
        <v>219</v>
      </c>
      <c r="F12" s="45" t="s">
        <v>219</v>
      </c>
      <c r="G12" s="45" t="s">
        <v>219</v>
      </c>
      <c r="H12" s="45" t="s">
        <v>219</v>
      </c>
      <c r="I12" s="45" t="s">
        <v>219</v>
      </c>
      <c r="J12" s="45" t="s">
        <v>219</v>
      </c>
    </row>
    <row r="13" spans="1:10" s="7" customFormat="1" x14ac:dyDescent="0.25">
      <c r="A13" s="9" t="s">
        <v>34</v>
      </c>
      <c r="B13" s="45">
        <v>0.14336000000000002</v>
      </c>
      <c r="C13" s="98" t="s">
        <v>159</v>
      </c>
      <c r="D13" s="45" t="s">
        <v>219</v>
      </c>
      <c r="E13" s="45" t="s">
        <v>219</v>
      </c>
      <c r="F13" s="45" t="s">
        <v>219</v>
      </c>
      <c r="G13" s="45" t="s">
        <v>219</v>
      </c>
      <c r="H13" s="45" t="s">
        <v>219</v>
      </c>
      <c r="I13" s="45" t="s">
        <v>219</v>
      </c>
      <c r="J13" s="45" t="s">
        <v>219</v>
      </c>
    </row>
    <row r="14" spans="1:10" s="7" customFormat="1" x14ac:dyDescent="0.25">
      <c r="A14" s="9" t="s">
        <v>35</v>
      </c>
      <c r="B14" s="102">
        <v>13.2755951215</v>
      </c>
      <c r="C14" s="98" t="s">
        <v>159</v>
      </c>
      <c r="D14" s="102" t="s">
        <v>219</v>
      </c>
      <c r="E14" s="102" t="s">
        <v>219</v>
      </c>
      <c r="F14" s="102" t="s">
        <v>219</v>
      </c>
      <c r="G14" s="102" t="s">
        <v>219</v>
      </c>
      <c r="H14" s="102" t="s">
        <v>219</v>
      </c>
      <c r="I14" s="102" t="s">
        <v>219</v>
      </c>
      <c r="J14" s="102" t="s">
        <v>219</v>
      </c>
    </row>
    <row r="15" spans="1:10" x14ac:dyDescent="0.25">
      <c r="A15" s="54" t="s">
        <v>37</v>
      </c>
      <c r="B15" s="44">
        <v>4.2374999999999996E-2</v>
      </c>
      <c r="C15" s="98" t="s">
        <v>159</v>
      </c>
      <c r="D15" s="44" t="s">
        <v>219</v>
      </c>
      <c r="E15" s="44" t="s">
        <v>219</v>
      </c>
      <c r="F15" s="44" t="s">
        <v>219</v>
      </c>
      <c r="G15" s="44" t="s">
        <v>219</v>
      </c>
      <c r="H15" s="44" t="s">
        <v>219</v>
      </c>
      <c r="I15" s="44" t="s">
        <v>219</v>
      </c>
      <c r="J15" s="44" t="s">
        <v>219</v>
      </c>
    </row>
    <row r="16" spans="1:10" s="7" customFormat="1" ht="25.8" customHeight="1" x14ac:dyDescent="0.25">
      <c r="A16" s="9" t="s">
        <v>38</v>
      </c>
      <c r="B16" s="102">
        <v>27.138073739699998</v>
      </c>
      <c r="C16" s="98" t="s">
        <v>159</v>
      </c>
      <c r="D16" s="102" t="s">
        <v>219</v>
      </c>
      <c r="E16" s="102" t="s">
        <v>219</v>
      </c>
      <c r="F16" s="102" t="s">
        <v>219</v>
      </c>
      <c r="G16" s="102" t="s">
        <v>219</v>
      </c>
      <c r="H16" s="102" t="s">
        <v>219</v>
      </c>
      <c r="I16" s="102" t="s">
        <v>219</v>
      </c>
      <c r="J16" s="102" t="s">
        <v>219</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160</v>
      </c>
      <c r="B1" s="118"/>
      <c r="C1" s="118"/>
      <c r="D1" s="118"/>
      <c r="E1" s="118"/>
      <c r="F1" s="118"/>
    </row>
    <row r="2" spans="1:6" x14ac:dyDescent="0.25">
      <c r="A2" s="51" t="s">
        <v>161</v>
      </c>
      <c r="B2" s="50" t="s">
        <v>162</v>
      </c>
      <c r="C2" s="50" t="s">
        <v>163</v>
      </c>
      <c r="D2" s="50" t="s">
        <v>164</v>
      </c>
      <c r="E2" s="50" t="s">
        <v>146</v>
      </c>
      <c r="F2" s="50" t="s">
        <v>165</v>
      </c>
    </row>
    <row r="3" spans="1:6" ht="48" customHeight="1" x14ac:dyDescent="0.25">
      <c r="A3" s="104">
        <v>43535</v>
      </c>
      <c r="B3" s="52" t="s">
        <v>166</v>
      </c>
      <c r="C3" s="105" t="s">
        <v>167</v>
      </c>
      <c r="D3" s="105"/>
      <c r="E3" s="52" t="s">
        <v>150</v>
      </c>
      <c r="F3" s="105" t="s">
        <v>168</v>
      </c>
    </row>
    <row r="4" spans="1:6" ht="49.5" customHeight="1" x14ac:dyDescent="0.25">
      <c r="A4" s="104">
        <v>43535</v>
      </c>
      <c r="B4" s="52" t="s">
        <v>169</v>
      </c>
      <c r="C4" s="105" t="s">
        <v>170</v>
      </c>
      <c r="D4" s="105"/>
      <c r="E4" s="52" t="s">
        <v>171</v>
      </c>
      <c r="F4" s="105"/>
    </row>
    <row r="5" spans="1:6" ht="125.4" x14ac:dyDescent="0.25">
      <c r="A5" s="104">
        <v>43438</v>
      </c>
      <c r="B5" s="52" t="s">
        <v>172</v>
      </c>
      <c r="C5" s="105" t="s">
        <v>167</v>
      </c>
      <c r="D5" s="105"/>
      <c r="E5" s="52" t="s">
        <v>173</v>
      </c>
      <c r="F5" s="105" t="s">
        <v>174</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39" t="s">
        <v>175</v>
      </c>
      <c r="B21" s="139"/>
      <c r="C21" s="139"/>
      <c r="D21" s="139"/>
      <c r="E21" s="139"/>
      <c r="F21" s="139"/>
    </row>
    <row r="22" spans="1:6" x14ac:dyDescent="0.25">
      <c r="A22" s="84" t="s">
        <v>161</v>
      </c>
      <c r="B22" s="84" t="s">
        <v>162</v>
      </c>
      <c r="C22" s="84" t="s">
        <v>176</v>
      </c>
      <c r="D22" s="84" t="s">
        <v>177</v>
      </c>
      <c r="E22" s="84" t="s">
        <v>146</v>
      </c>
      <c r="F22" s="84" t="s">
        <v>165</v>
      </c>
    </row>
    <row r="23" spans="1:6" x14ac:dyDescent="0.25">
      <c r="A23" s="107">
        <v>43497</v>
      </c>
      <c r="B23" s="58" t="s">
        <v>178</v>
      </c>
      <c r="C23" s="108" t="s">
        <v>179</v>
      </c>
      <c r="D23" s="108"/>
      <c r="E23" s="58" t="s">
        <v>152</v>
      </c>
      <c r="F23" s="108" t="s">
        <v>180</v>
      </c>
    </row>
    <row r="24" spans="1:6" x14ac:dyDescent="0.25">
      <c r="A24" s="107">
        <v>43496</v>
      </c>
      <c r="B24" s="58" t="s">
        <v>181</v>
      </c>
      <c r="C24" s="108" t="s">
        <v>182</v>
      </c>
      <c r="D24" s="108"/>
      <c r="E24" s="58" t="s">
        <v>183</v>
      </c>
      <c r="F24" s="108" t="s">
        <v>184</v>
      </c>
    </row>
    <row r="25" spans="1:6" x14ac:dyDescent="0.25">
      <c r="A25" s="107">
        <v>43433</v>
      </c>
      <c r="B25" s="58" t="s">
        <v>185</v>
      </c>
      <c r="C25" s="108" t="s">
        <v>186</v>
      </c>
      <c r="D25" s="108"/>
      <c r="E25" s="58" t="s">
        <v>187</v>
      </c>
      <c r="F25" s="108" t="s">
        <v>188</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189</v>
      </c>
      <c r="B1" s="118"/>
      <c r="C1" s="118"/>
      <c r="D1" s="118"/>
      <c r="E1" s="118"/>
      <c r="F1" s="118"/>
      <c r="G1" s="118"/>
      <c r="H1" s="118"/>
      <c r="I1" s="118"/>
      <c r="J1" s="118"/>
      <c r="K1" s="118"/>
      <c r="L1" s="118"/>
      <c r="M1" s="118"/>
      <c r="N1" s="118"/>
    </row>
    <row r="2" spans="1:18" s="1" customFormat="1" ht="25.5" customHeight="1" x14ac:dyDescent="0.25">
      <c r="A2" s="55" t="s">
        <v>190</v>
      </c>
      <c r="B2" s="55" t="s">
        <v>191</v>
      </c>
      <c r="C2" s="55" t="s">
        <v>192</v>
      </c>
      <c r="D2" s="55" t="s">
        <v>193</v>
      </c>
      <c r="E2" s="55" t="s">
        <v>194</v>
      </c>
      <c r="F2" s="55" t="s">
        <v>195</v>
      </c>
      <c r="G2" s="55" t="s">
        <v>196</v>
      </c>
      <c r="H2" s="55" t="s">
        <v>16</v>
      </c>
      <c r="I2" s="55" t="s">
        <v>197</v>
      </c>
      <c r="J2" s="55" t="s">
        <v>198</v>
      </c>
      <c r="K2" s="55" t="s">
        <v>199</v>
      </c>
      <c r="L2" s="55" t="s">
        <v>200</v>
      </c>
      <c r="M2" s="55" t="s">
        <v>19</v>
      </c>
      <c r="N2" s="55" t="s">
        <v>201</v>
      </c>
      <c r="O2" s="3"/>
      <c r="P2" s="110" t="str">
        <f ca="1">Q2</f>
        <v>2019-04-15</v>
      </c>
      <c r="Q2" s="1" t="str">
        <f ca="1">[1]!td(R2-1)</f>
        <v>2019-04-15</v>
      </c>
      <c r="R2" s="3">
        <f ca="1">TODAY()</f>
        <v>43571</v>
      </c>
    </row>
    <row r="3" spans="1:18" ht="15.75" customHeight="1" x14ac:dyDescent="0.25">
      <c r="A3" s="111" t="str">
        <f>[1]!b_info_name(L3)</f>
        <v>19广州国资SCP002</v>
      </c>
      <c r="B3" s="2" t="str">
        <f>[1]!b_issue_firstissue(L3)</f>
        <v>2019-04-17</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202</v>
      </c>
      <c r="I3" s="66"/>
      <c r="J3" s="115" t="s">
        <v>202</v>
      </c>
      <c r="K3" s="116"/>
      <c r="L3" s="41" t="str">
        <f>公式页!A2</f>
        <v>d19041615.IB</v>
      </c>
      <c r="M3" s="114" t="s">
        <v>202</v>
      </c>
      <c r="N3" s="111" t="str">
        <f>[1]!b_agency_leadunderwriter(L3)</f>
        <v>兴业银行股份有限公司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203</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204</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5" t="s">
        <v>190</v>
      </c>
      <c r="B13" s="55" t="s">
        <v>191</v>
      </c>
      <c r="C13" s="55" t="s">
        <v>192</v>
      </c>
      <c r="D13" s="55" t="s">
        <v>193</v>
      </c>
      <c r="E13" s="55" t="s">
        <v>194</v>
      </c>
      <c r="F13" s="55" t="s">
        <v>195</v>
      </c>
      <c r="G13" s="55" t="s">
        <v>196</v>
      </c>
      <c r="H13" s="55" t="s">
        <v>16</v>
      </c>
      <c r="I13" s="55" t="s">
        <v>197</v>
      </c>
      <c r="J13" s="55" t="s">
        <v>198</v>
      </c>
      <c r="K13" s="55" t="s">
        <v>199</v>
      </c>
      <c r="L13" s="55" t="s">
        <v>200</v>
      </c>
      <c r="M13" s="55" t="s">
        <v>19</v>
      </c>
      <c r="N13" s="55" t="s">
        <v>201</v>
      </c>
      <c r="P13" s="109" t="str">
        <f t="shared" ca="1" si="0"/>
        <v>2019-04-15</v>
      </c>
    </row>
    <row r="14" spans="1:18" ht="15.75" customHeight="1" x14ac:dyDescent="0.25">
      <c r="A14" s="111" t="str">
        <f>[1]!b_info_name(L14)</f>
        <v>19广州国资SCP002</v>
      </c>
      <c r="B14" s="2" t="str">
        <f>[1]!b_issue_firstissue(L14)</f>
        <v>2019-04-17</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202</v>
      </c>
      <c r="I14" s="66"/>
      <c r="J14" s="115" t="s">
        <v>202</v>
      </c>
      <c r="K14" s="116">
        <f>K3</f>
        <v>0</v>
      </c>
      <c r="L14" s="42" t="str">
        <f>L3</f>
        <v>d19041615.IB</v>
      </c>
      <c r="M14" s="114" t="s">
        <v>202</v>
      </c>
      <c r="N14" s="111" t="str">
        <f>[1]!b_agency_leadunderwriter(L14)</f>
        <v>兴业银行股份有限公司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205</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206</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207</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208</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209</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210</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211</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212</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213</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2019-04-16T08:12:13Z</dcterms:modified>
</cp:coreProperties>
</file>