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7新券信评\"/>
    </mc:Choice>
  </mc:AlternateContent>
  <xr:revisionPtr revIDLastSave="0" documentId="13_ncr:1_{BA79B448-8B6A-4434-9932-F62BB3ABADE1}"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H22" i="6"/>
  <c r="M20" i="6"/>
  <c r="G19" i="6"/>
  <c r="D18" i="6"/>
  <c r="F16" i="6"/>
  <c r="C15" i="6"/>
  <c r="M9" i="6"/>
  <c r="H8" i="6"/>
  <c r="F6" i="6"/>
  <c r="C5" i="6"/>
  <c r="F3" i="6"/>
  <c r="M22" i="6"/>
  <c r="B21" i="6"/>
  <c r="A19" i="6"/>
  <c r="H16" i="6"/>
  <c r="E14" i="6"/>
  <c r="C8" i="6"/>
  <c r="N5" i="6"/>
  <c r="C3" i="6"/>
  <c r="S139" i="1"/>
  <c r="M133" i="1"/>
  <c r="S127" i="1"/>
  <c r="M118" i="1"/>
  <c r="M111" i="1"/>
  <c r="M103" i="1"/>
  <c r="J101" i="1"/>
  <c r="F100" i="1"/>
  <c r="D99" i="1"/>
  <c r="B98" i="1"/>
  <c r="Q96" i="1"/>
  <c r="D95" i="1"/>
  <c r="F92" i="1"/>
  <c r="B90" i="1"/>
  <c r="D87" i="1"/>
  <c r="F84" i="1"/>
  <c r="B82" i="1"/>
  <c r="D79" i="1"/>
  <c r="F76" i="1"/>
  <c r="B74" i="1"/>
  <c r="D71" i="1"/>
  <c r="F68" i="1"/>
  <c r="B66" i="1"/>
  <c r="D63" i="1"/>
  <c r="F60" i="1"/>
  <c r="B58" i="1"/>
  <c r="D55" i="1"/>
  <c r="F52" i="1"/>
  <c r="B50" i="1"/>
  <c r="D47" i="1"/>
  <c r="F44" i="1"/>
  <c r="B42" i="1"/>
  <c r="D39" i="1"/>
  <c r="F36" i="1"/>
  <c r="B34" i="1"/>
  <c r="B22" i="6"/>
  <c r="N18" i="6"/>
  <c r="A16" i="6"/>
  <c r="H9" i="6"/>
  <c r="M6" i="6"/>
  <c r="G3" i="6"/>
  <c r="M135" i="1"/>
  <c r="O129" i="1"/>
  <c r="D112" i="1"/>
  <c r="Q101" i="1"/>
  <c r="G100" i="1"/>
  <c r="P98" i="1"/>
  <c r="F97" i="1"/>
  <c r="E95" i="1"/>
  <c r="G91" i="1"/>
  <c r="D88" i="1"/>
  <c r="G84" i="1"/>
  <c r="C81" i="1"/>
  <c r="F77" i="1"/>
  <c r="C74" i="1"/>
  <c r="E70" i="1"/>
  <c r="B67" i="1"/>
  <c r="E63" i="1"/>
  <c r="G59" i="1"/>
  <c r="D56" i="1"/>
  <c r="G52" i="1"/>
  <c r="C49" i="1"/>
  <c r="F45" i="1"/>
  <c r="C42" i="1"/>
  <c r="E38" i="1"/>
  <c r="B35" i="1"/>
  <c r="G31" i="1"/>
  <c r="N29" i="1"/>
  <c r="L28" i="1"/>
  <c r="G27" i="1"/>
  <c r="E26" i="1"/>
  <c r="C25" i="1"/>
  <c r="R23" i="1"/>
  <c r="E22" i="1"/>
  <c r="C21" i="1"/>
  <c r="R19" i="1"/>
  <c r="E18" i="1"/>
  <c r="C17" i="1"/>
  <c r="J15" i="1"/>
  <c r="B10" i="1"/>
  <c r="G22" i="6"/>
  <c r="E20" i="6"/>
  <c r="B18" i="6"/>
  <c r="F15" i="6"/>
  <c r="E8" i="6"/>
  <c r="G4" i="6"/>
  <c r="S132" i="1"/>
  <c r="D111" i="1"/>
  <c r="L103" i="1"/>
  <c r="B101" i="1"/>
  <c r="L99" i="1"/>
  <c r="R97" i="1"/>
  <c r="J96" i="1"/>
  <c r="E93" i="1"/>
  <c r="G89" i="1"/>
  <c r="D86" i="1"/>
  <c r="G82" i="1"/>
  <c r="C79" i="1"/>
  <c r="F75" i="1"/>
  <c r="C72" i="1"/>
  <c r="E68" i="1"/>
  <c r="B65" i="1"/>
  <c r="E61" i="1"/>
  <c r="G57" i="1"/>
  <c r="D54" i="1"/>
  <c r="G50" i="1"/>
  <c r="G23" i="6"/>
  <c r="D22" i="6"/>
  <c r="F20" i="6"/>
  <c r="C19" i="6"/>
  <c r="E17" i="6"/>
  <c r="B16" i="6"/>
  <c r="N14" i="6"/>
  <c r="G9" i="6"/>
  <c r="D8" i="6"/>
  <c r="B6" i="6"/>
  <c r="N4" i="6"/>
  <c r="B3" i="6"/>
  <c r="E22" i="6"/>
  <c r="D20" i="6"/>
  <c r="C18" i="6"/>
  <c r="C16" i="6"/>
  <c r="N9" i="6"/>
  <c r="M7" i="6"/>
  <c r="F5" i="6"/>
  <c r="S137" i="1"/>
  <c r="S131" i="1"/>
  <c r="M121" i="1"/>
  <c r="M117" i="1"/>
  <c r="F110" i="1"/>
  <c r="F102" i="1"/>
  <c r="D101" i="1"/>
  <c r="B100" i="1"/>
  <c r="Q98" i="1"/>
  <c r="O97" i="1"/>
  <c r="M96" i="1"/>
  <c r="F94" i="1"/>
  <c r="B92" i="1"/>
  <c r="D89" i="1"/>
  <c r="F86" i="1"/>
  <c r="B84" i="1"/>
  <c r="D81" i="1"/>
  <c r="F78" i="1"/>
  <c r="B76" i="1"/>
  <c r="D73" i="1"/>
  <c r="F70" i="1"/>
  <c r="B68" i="1"/>
  <c r="D65" i="1"/>
  <c r="F62" i="1"/>
  <c r="B60" i="1"/>
  <c r="D57" i="1"/>
  <c r="F54" i="1"/>
  <c r="B52" i="1"/>
  <c r="D49" i="1"/>
  <c r="F46" i="1"/>
  <c r="B44" i="1"/>
  <c r="D41" i="1"/>
  <c r="F38" i="1"/>
  <c r="B36" i="1"/>
  <c r="D33" i="1"/>
  <c r="H21" i="6"/>
  <c r="E18" i="6"/>
  <c r="H15" i="6"/>
  <c r="F8" i="6"/>
  <c r="E6" i="6"/>
  <c r="O133" i="1"/>
  <c r="M128" i="1"/>
  <c r="F111" i="1"/>
  <c r="L101" i="1"/>
  <c r="R99" i="1"/>
  <c r="J98" i="1"/>
  <c r="R96" i="1"/>
  <c r="E94" i="1"/>
  <c r="B91" i="1"/>
  <c r="E87" i="1"/>
  <c r="G83" i="1"/>
  <c r="D80" i="1"/>
  <c r="G76" i="1"/>
  <c r="C73" i="1"/>
  <c r="F69" i="1"/>
  <c r="C66" i="1"/>
  <c r="E62" i="1"/>
  <c r="B59" i="1"/>
  <c r="E55" i="1"/>
  <c r="G51" i="1"/>
  <c r="D48" i="1"/>
  <c r="G44" i="1"/>
  <c r="C41" i="1"/>
  <c r="F37" i="1"/>
  <c r="C34" i="1"/>
  <c r="C31" i="1"/>
  <c r="G29" i="1"/>
  <c r="E28" i="1"/>
  <c r="C27" i="1"/>
  <c r="R25" i="1"/>
  <c r="P24" i="1"/>
  <c r="N23" i="1"/>
  <c r="R21" i="1"/>
  <c r="P20" i="1"/>
  <c r="N19" i="1"/>
  <c r="R17" i="1"/>
  <c r="F16" i="1"/>
  <c r="D15" i="1"/>
  <c r="B8" i="1"/>
  <c r="A22" i="6"/>
  <c r="M19" i="6"/>
  <c r="H17" i="6"/>
  <c r="C14" i="6"/>
  <c r="C7" i="6"/>
  <c r="A4" i="6"/>
  <c r="M139" i="1"/>
  <c r="M131" i="1"/>
  <c r="D110" i="1"/>
  <c r="D102" i="1"/>
  <c r="N100" i="1"/>
  <c r="C99" i="1"/>
  <c r="M97" i="1"/>
  <c r="C96" i="1"/>
  <c r="E92" i="1"/>
  <c r="B89" i="1"/>
  <c r="E85" i="1"/>
  <c r="G81" i="1"/>
  <c r="D78" i="1"/>
  <c r="G74" i="1"/>
  <c r="C71" i="1"/>
  <c r="F67" i="1"/>
  <c r="C64" i="1"/>
  <c r="E60" i="1"/>
  <c r="B57" i="1"/>
  <c r="E53" i="1"/>
  <c r="G49" i="1"/>
  <c r="C23" i="6"/>
  <c r="E21" i="6"/>
  <c r="B20" i="6"/>
  <c r="O18" i="6"/>
  <c r="A17" i="6"/>
  <c r="N15" i="6"/>
  <c r="F14" i="6"/>
  <c r="C9" i="6"/>
  <c r="E7" i="6"/>
  <c r="M5" i="6"/>
  <c r="H4" i="6"/>
  <c r="H23" i="6"/>
  <c r="O21" i="6"/>
  <c r="O19" i="6"/>
  <c r="N17" i="6"/>
  <c r="M15" i="6"/>
  <c r="F9" i="6"/>
  <c r="F7" i="6"/>
  <c r="A5" i="6"/>
  <c r="S135" i="1"/>
  <c r="M129" i="1"/>
  <c r="M120" i="1"/>
  <c r="M116" i="1"/>
  <c r="M109" i="1"/>
  <c r="B102" i="1"/>
  <c r="Q100" i="1"/>
  <c r="O99" i="1"/>
  <c r="M98" i="1"/>
  <c r="J97" i="1"/>
  <c r="F96" i="1"/>
  <c r="B94" i="1"/>
  <c r="D91" i="1"/>
  <c r="F88" i="1"/>
  <c r="B86" i="1"/>
  <c r="D83" i="1"/>
  <c r="F80" i="1"/>
  <c r="B78" i="1"/>
  <c r="D75" i="1"/>
  <c r="F72" i="1"/>
  <c r="B70" i="1"/>
  <c r="D67" i="1"/>
  <c r="F64" i="1"/>
  <c r="B62" i="1"/>
  <c r="D59" i="1"/>
  <c r="F56" i="1"/>
  <c r="B54" i="1"/>
  <c r="D51" i="1"/>
  <c r="F48" i="1"/>
  <c r="B46" i="1"/>
  <c r="D43" i="1"/>
  <c r="F40" i="1"/>
  <c r="B38" i="1"/>
  <c r="D35" i="1"/>
  <c r="M23" i="6"/>
  <c r="G20" i="6"/>
  <c r="M17" i="6"/>
  <c r="A15" i="6"/>
  <c r="N7" i="6"/>
  <c r="D5" i="6"/>
  <c r="M140" i="1"/>
  <c r="O131" i="1"/>
  <c r="M127" i="1"/>
  <c r="N103" i="1"/>
  <c r="C101" i="1"/>
  <c r="M99" i="1"/>
  <c r="C98" i="1"/>
  <c r="L96" i="1"/>
  <c r="F93" i="1"/>
  <c r="C90" i="1"/>
  <c r="E86" i="1"/>
  <c r="B83" i="1"/>
  <c r="E79" i="1"/>
  <c r="G75" i="1"/>
  <c r="D72" i="1"/>
  <c r="G68" i="1"/>
  <c r="C65" i="1"/>
  <c r="F61" i="1"/>
  <c r="C58" i="1"/>
  <c r="E54" i="1"/>
  <c r="B51" i="1"/>
  <c r="E47" i="1"/>
  <c r="G43" i="1"/>
  <c r="D40" i="1"/>
  <c r="G36" i="1"/>
  <c r="C33" i="1"/>
  <c r="E30" i="1"/>
  <c r="C29" i="1"/>
  <c r="H18" i="6"/>
  <c r="N8" i="6"/>
  <c r="B23" i="6"/>
  <c r="E15" i="6"/>
  <c r="S141" i="1"/>
  <c r="F112" i="1"/>
  <c r="J99" i="1"/>
  <c r="D93" i="1"/>
  <c r="F82" i="1"/>
  <c r="B72" i="1"/>
  <c r="D61" i="1"/>
  <c r="F50" i="1"/>
  <c r="B40" i="1"/>
  <c r="E19" i="6"/>
  <c r="B4" i="6"/>
  <c r="E102" i="1"/>
  <c r="D96" i="1"/>
  <c r="C82" i="1"/>
  <c r="G67" i="1"/>
  <c r="F53" i="1"/>
  <c r="E39" i="1"/>
  <c r="P28" i="1"/>
  <c r="L26" i="1"/>
  <c r="E24" i="1"/>
  <c r="G21" i="1"/>
  <c r="C19" i="1"/>
  <c r="O15" i="1"/>
  <c r="A23" i="6"/>
  <c r="M18" i="6"/>
  <c r="M8" i="6"/>
  <c r="Q2" i="6"/>
  <c r="F113" i="1"/>
  <c r="G101" i="1"/>
  <c r="G98" i="1"/>
  <c r="D94" i="1"/>
  <c r="C87" i="1"/>
  <c r="C80" i="1"/>
  <c r="B73" i="1"/>
  <c r="G65" i="1"/>
  <c r="G58" i="1"/>
  <c r="F51" i="1"/>
  <c r="D46" i="1"/>
  <c r="G42" i="1"/>
  <c r="C39" i="1"/>
  <c r="F35" i="1"/>
  <c r="D32" i="1"/>
  <c r="Q29" i="1"/>
  <c r="O28" i="1"/>
  <c r="M27" i="1"/>
  <c r="J26" i="1"/>
  <c r="F25" i="1"/>
  <c r="D24" i="1"/>
  <c r="B23" i="1"/>
  <c r="F21" i="1"/>
  <c r="D20" i="1"/>
  <c r="B19" i="1"/>
  <c r="F17" i="1"/>
  <c r="N15" i="1"/>
  <c r="F11" i="1"/>
  <c r="F23" i="6"/>
  <c r="N20" i="6"/>
  <c r="G18" i="6"/>
  <c r="G14" i="6"/>
  <c r="A3" i="6"/>
  <c r="O132" i="1"/>
  <c r="O103" i="1"/>
  <c r="N99" i="1"/>
  <c r="N96" i="1"/>
  <c r="D90" i="1"/>
  <c r="C83" i="1"/>
  <c r="C76" i="1"/>
  <c r="B69" i="1"/>
  <c r="G61" i="1"/>
  <c r="G54" i="1"/>
  <c r="F47" i="1"/>
  <c r="E40" i="1"/>
  <c r="E33" i="1"/>
  <c r="D29" i="1"/>
  <c r="Q26" i="1"/>
  <c r="M24" i="1"/>
  <c r="O21" i="1"/>
  <c r="J19" i="1"/>
  <c r="C16" i="1"/>
  <c r="B6" i="1"/>
  <c r="F18" i="6"/>
  <c r="A14" i="6"/>
  <c r="H6" i="6"/>
  <c r="S140" i="1"/>
  <c r="O127" i="1"/>
  <c r="R100" i="1"/>
  <c r="Q97" i="1"/>
  <c r="C93" i="1"/>
  <c r="C86" i="1"/>
  <c r="B79" i="1"/>
  <c r="G71" i="1"/>
  <c r="G64" i="1"/>
  <c r="F57" i="1"/>
  <c r="E50" i="1"/>
  <c r="E43" i="1"/>
  <c r="D36" i="1"/>
  <c r="C30" i="1"/>
  <c r="P27" i="1"/>
  <c r="L25" i="1"/>
  <c r="E23" i="1"/>
  <c r="G20" i="1"/>
  <c r="L17" i="1"/>
  <c r="D14" i="1"/>
  <c r="H20" i="6"/>
  <c r="O15" i="6"/>
  <c r="G6" i="6"/>
  <c r="S111" i="1"/>
  <c r="C100" i="1"/>
  <c r="B97" i="1"/>
  <c r="C91" i="1"/>
  <c r="C84" i="1"/>
  <c r="B77" i="1"/>
  <c r="G69" i="1"/>
  <c r="G62" i="1"/>
  <c r="F55" i="1"/>
  <c r="E48" i="1"/>
  <c r="E41" i="1"/>
  <c r="D34" i="1"/>
  <c r="J29" i="1"/>
  <c r="D27" i="1"/>
  <c r="Q24" i="1"/>
  <c r="B22" i="1"/>
  <c r="O19" i="1"/>
  <c r="O22" i="6"/>
  <c r="M16" i="6"/>
  <c r="A7" i="6"/>
  <c r="G21" i="6"/>
  <c r="A9" i="6"/>
  <c r="O134" i="1"/>
  <c r="Q103" i="1"/>
  <c r="F98" i="1"/>
  <c r="F90" i="1"/>
  <c r="B80" i="1"/>
  <c r="D69" i="1"/>
  <c r="F58" i="1"/>
  <c r="B48" i="1"/>
  <c r="D37" i="1"/>
  <c r="C17" i="6"/>
  <c r="M137" i="1"/>
  <c r="O100" i="1"/>
  <c r="G92" i="1"/>
  <c r="E78" i="1"/>
  <c r="D64" i="1"/>
  <c r="C50" i="1"/>
  <c r="G35" i="1"/>
  <c r="R27" i="1"/>
  <c r="N25" i="1"/>
  <c r="G23" i="1"/>
  <c r="L20" i="1"/>
  <c r="N17" i="1"/>
  <c r="F14" i="1"/>
  <c r="F21" i="6"/>
  <c r="B17" i="6"/>
  <c r="C6" i="6"/>
  <c r="S136" i="1"/>
  <c r="F109" i="1"/>
  <c r="E100" i="1"/>
  <c r="E97" i="1"/>
  <c r="F91" i="1"/>
  <c r="E84" i="1"/>
  <c r="E77" i="1"/>
  <c r="D70" i="1"/>
  <c r="C63" i="1"/>
  <c r="C56" i="1"/>
  <c r="B49" i="1"/>
  <c r="E45" i="1"/>
  <c r="G41" i="1"/>
  <c r="D38" i="1"/>
  <c r="G34" i="1"/>
  <c r="F31" i="1"/>
  <c r="M29" i="1"/>
  <c r="J28" i="1"/>
  <c r="F27" i="1"/>
  <c r="D26" i="1"/>
  <c r="B25" i="1"/>
  <c r="Q23" i="1"/>
  <c r="D22" i="1"/>
  <c r="B21" i="1"/>
  <c r="Q19" i="1"/>
  <c r="D18" i="1"/>
  <c r="B17" i="1"/>
  <c r="G15" i="1"/>
  <c r="F9" i="1"/>
  <c r="F22" i="6"/>
  <c r="C20" i="6"/>
  <c r="G17" i="6"/>
  <c r="G8" i="6"/>
  <c r="S112" i="1"/>
  <c r="R101" i="1"/>
  <c r="R98" i="1"/>
  <c r="F95" i="1"/>
  <c r="E88" i="1"/>
  <c r="E81" i="1"/>
  <c r="D74" i="1"/>
  <c r="C67" i="1"/>
  <c r="C60" i="1"/>
  <c r="B53" i="1"/>
  <c r="G45" i="1"/>
  <c r="G38" i="1"/>
  <c r="B32" i="1"/>
  <c r="M28" i="1"/>
  <c r="F26" i="1"/>
  <c r="B24" i="1"/>
  <c r="D21" i="1"/>
  <c r="F18" i="1"/>
  <c r="L15" i="1"/>
  <c r="E23" i="6"/>
  <c r="D17" i="6"/>
  <c r="D9" i="6"/>
  <c r="M4" i="6"/>
  <c r="O135" i="1"/>
  <c r="M110" i="1"/>
  <c r="D100" i="1"/>
  <c r="C97" i="1"/>
  <c r="E91" i="1"/>
  <c r="D84" i="1"/>
  <c r="C77" i="1"/>
  <c r="C70" i="1"/>
  <c r="B63" i="1"/>
  <c r="G55" i="1"/>
  <c r="G48" i="1"/>
  <c r="F41" i="1"/>
  <c r="E34" i="1"/>
  <c r="L29" i="1"/>
  <c r="E27" i="1"/>
  <c r="R24" i="1"/>
  <c r="C22" i="1"/>
  <c r="P19" i="1"/>
  <c r="J16" i="1"/>
  <c r="B9" i="1"/>
  <c r="B19" i="6"/>
  <c r="B9" i="6"/>
  <c r="H5" i="6"/>
  <c r="G102" i="1"/>
  <c r="F99" i="1"/>
  <c r="E96" i="1"/>
  <c r="E89" i="1"/>
  <c r="D82" i="1"/>
  <c r="C75" i="1"/>
  <c r="C68" i="1"/>
  <c r="B61" i="1"/>
  <c r="A21" i="6"/>
  <c r="G15" i="6"/>
  <c r="G5" i="6"/>
  <c r="F19" i="6"/>
  <c r="D6" i="6"/>
  <c r="O128" i="1"/>
  <c r="O101" i="1"/>
  <c r="D97" i="1"/>
  <c r="B88" i="1"/>
  <c r="D77" i="1"/>
  <c r="F66" i="1"/>
  <c r="B56" i="1"/>
  <c r="D45" i="1"/>
  <c r="F34" i="1"/>
  <c r="D14" i="6"/>
  <c r="O130" i="1"/>
  <c r="E99" i="1"/>
  <c r="C89" i="1"/>
  <c r="B75" i="1"/>
  <c r="G60" i="1"/>
  <c r="E46" i="1"/>
  <c r="E32" i="1"/>
  <c r="N27" i="1"/>
  <c r="G25" i="1"/>
  <c r="C23" i="1"/>
  <c r="E20" i="1"/>
  <c r="G17" i="1"/>
  <c r="B14" i="1"/>
  <c r="O20" i="6"/>
  <c r="G16" i="6"/>
  <c r="B5" i="6"/>
  <c r="S134" i="1"/>
  <c r="R103" i="1"/>
  <c r="Q99" i="1"/>
  <c r="P96" i="1"/>
  <c r="G90" i="1"/>
  <c r="F83" i="1"/>
  <c r="E76" i="1"/>
  <c r="E69" i="1"/>
  <c r="D62" i="1"/>
  <c r="C55" i="1"/>
  <c r="C48" i="1"/>
  <c r="E44" i="1"/>
  <c r="B41" i="1"/>
  <c r="E37" i="1"/>
  <c r="G33" i="1"/>
  <c r="B31" i="1"/>
  <c r="F29" i="1"/>
  <c r="D28" i="1"/>
  <c r="B27" i="1"/>
  <c r="Q25" i="1"/>
  <c r="O24" i="1"/>
  <c r="M23" i="1"/>
  <c r="Q21" i="1"/>
  <c r="O20" i="1"/>
  <c r="M19" i="1"/>
  <c r="Q17" i="1"/>
  <c r="E16" i="1"/>
  <c r="C15" i="1"/>
  <c r="F7" i="1"/>
  <c r="N21" i="6"/>
  <c r="O23" i="6"/>
  <c r="E16" i="6"/>
  <c r="H7" i="6"/>
  <c r="M141" i="1"/>
  <c r="S110" i="1"/>
  <c r="E101" i="1"/>
  <c r="D98" i="1"/>
  <c r="G93" i="1"/>
  <c r="G86" i="1"/>
  <c r="F79" i="1"/>
  <c r="E72" i="1"/>
  <c r="E65" i="1"/>
  <c r="D58" i="1"/>
  <c r="C51" i="1"/>
  <c r="C44" i="1"/>
  <c r="B37" i="1"/>
  <c r="F30" i="1"/>
  <c r="B28" i="1"/>
  <c r="O25" i="1"/>
  <c r="J23" i="1"/>
  <c r="M20" i="1"/>
  <c r="O17" i="1"/>
  <c r="G14" i="1"/>
  <c r="C21" i="6"/>
  <c r="D16" i="6"/>
  <c r="B8" i="6"/>
  <c r="N3" i="6"/>
  <c r="M132" i="1"/>
  <c r="J103" i="1"/>
  <c r="G99" i="1"/>
  <c r="G96" i="1"/>
  <c r="F89" i="1"/>
  <c r="E82" i="1"/>
  <c r="E75" i="1"/>
  <c r="D68" i="1"/>
  <c r="C61" i="1"/>
  <c r="C54" i="1"/>
  <c r="B47" i="1"/>
  <c r="G39" i="1"/>
  <c r="G32" i="1"/>
  <c r="R28" i="1"/>
  <c r="N26" i="1"/>
  <c r="G24" i="1"/>
  <c r="L21" i="1"/>
  <c r="E19" i="1"/>
  <c r="Q15" i="1"/>
  <c r="E4" i="1"/>
  <c r="A18" i="6"/>
  <c r="A8" i="6"/>
  <c r="S138" i="1"/>
  <c r="M101" i="1"/>
  <c r="L98" i="1"/>
  <c r="G94" i="1"/>
  <c r="F87" i="1"/>
  <c r="E80" i="1"/>
  <c r="E73" i="1"/>
  <c r="D66" i="1"/>
  <c r="C59" i="1"/>
  <c r="C52" i="1"/>
  <c r="B45" i="1"/>
  <c r="G37" i="1"/>
  <c r="D31" i="1"/>
  <c r="F28" i="1"/>
  <c r="B26" i="1"/>
  <c r="O23" i="1"/>
  <c r="Q20" i="1"/>
  <c r="D4" i="6"/>
  <c r="M100" i="1"/>
  <c r="B64" i="1"/>
  <c r="D7" i="6"/>
  <c r="E71" i="1"/>
  <c r="P26" i="1"/>
  <c r="B16" i="1"/>
  <c r="E3" i="6"/>
  <c r="C95" i="1"/>
  <c r="G66" i="1"/>
  <c r="F43" i="1"/>
  <c r="D30" i="1"/>
  <c r="M25" i="1"/>
  <c r="J20" i="1"/>
  <c r="E14" i="1"/>
  <c r="D15" i="6"/>
  <c r="J100" i="1"/>
  <c r="G77" i="1"/>
  <c r="E49" i="1"/>
  <c r="J27" i="1"/>
  <c r="D17" i="1"/>
  <c r="G7" i="6"/>
  <c r="N98" i="1"/>
  <c r="F73" i="1"/>
  <c r="C45" i="1"/>
  <c r="C26" i="1"/>
  <c r="F15" i="1"/>
  <c r="M134" i="1"/>
  <c r="G85" i="1"/>
  <c r="E57" i="1"/>
  <c r="C43" i="1"/>
  <c r="B30" i="1"/>
  <c r="J25" i="1"/>
  <c r="F20" i="1"/>
  <c r="G16" i="1"/>
  <c r="F8" i="1"/>
  <c r="O17" i="6"/>
  <c r="E5" i="6"/>
  <c r="S133" i="1"/>
  <c r="P103" i="1"/>
  <c r="P99" i="1"/>
  <c r="O96" i="1"/>
  <c r="E90" i="1"/>
  <c r="E83" i="1"/>
  <c r="D76" i="1"/>
  <c r="C69" i="1"/>
  <c r="C62" i="1"/>
  <c r="B55" i="1"/>
  <c r="G47" i="1"/>
  <c r="G40" i="1"/>
  <c r="F33" i="1"/>
  <c r="E29" i="1"/>
  <c r="R26" i="1"/>
  <c r="N24" i="1"/>
  <c r="P21" i="1"/>
  <c r="L19" i="1"/>
  <c r="D16" i="1"/>
  <c r="B7" i="1"/>
  <c r="B14" i="6"/>
  <c r="F85" i="1"/>
  <c r="E9" i="6"/>
  <c r="G73" i="1"/>
  <c r="O26" i="1"/>
  <c r="M21" i="6"/>
  <c r="E56" i="1"/>
  <c r="B15" i="6"/>
  <c r="D52" i="1"/>
  <c r="B7" i="6"/>
  <c r="G46" i="1"/>
  <c r="J17" i="1"/>
  <c r="A20" i="6"/>
  <c r="L100" i="1"/>
  <c r="C85" i="1"/>
  <c r="G63" i="1"/>
  <c r="F49" i="1"/>
  <c r="P29" i="1"/>
  <c r="G22" i="1"/>
  <c r="B11" i="1"/>
  <c r="F17" i="6"/>
  <c r="B96" i="1"/>
  <c r="D53" i="1"/>
  <c r="M123" i="1"/>
  <c r="C57" i="1"/>
  <c r="L24" i="1"/>
  <c r="E5" i="1"/>
  <c r="M130" i="1"/>
  <c r="C88" i="1"/>
  <c r="F59" i="1"/>
  <c r="C40" i="1"/>
  <c r="B29" i="1"/>
  <c r="J24" i="1"/>
  <c r="F19" i="1"/>
  <c r="B5" i="1"/>
  <c r="E4" i="6"/>
  <c r="G97" i="1"/>
  <c r="G70" i="1"/>
  <c r="D42" i="1"/>
  <c r="D25" i="1"/>
  <c r="F10" i="1"/>
  <c r="B95" i="1"/>
  <c r="E66" i="1"/>
  <c r="C38" i="1"/>
  <c r="P23" i="1"/>
  <c r="N22" i="6"/>
  <c r="P100" i="1"/>
  <c r="G78" i="1"/>
  <c r="G53" i="1"/>
  <c r="F39" i="1"/>
  <c r="Q28" i="1"/>
  <c r="F24" i="1"/>
  <c r="D19" i="1"/>
  <c r="P15" i="1"/>
  <c r="B4" i="1"/>
  <c r="N16" i="6"/>
  <c r="F4" i="6"/>
  <c r="S130" i="1"/>
  <c r="C102" i="1"/>
  <c r="B99" i="1"/>
  <c r="G95" i="1"/>
  <c r="G88" i="1"/>
  <c r="F81" i="1"/>
  <c r="E74" i="1"/>
  <c r="E67" i="1"/>
  <c r="D60" i="1"/>
  <c r="C53" i="1"/>
  <c r="C46" i="1"/>
  <c r="B39" i="1"/>
  <c r="C32" i="1"/>
  <c r="N28" i="1"/>
  <c r="G26" i="1"/>
  <c r="C24" i="1"/>
  <c r="E21" i="1"/>
  <c r="G18" i="1"/>
  <c r="M15" i="1"/>
  <c r="L23" i="1"/>
  <c r="P17" i="1"/>
  <c r="G19" i="1"/>
  <c r="C47" i="1"/>
  <c r="M21" i="1"/>
  <c r="D109" i="1"/>
  <c r="B20" i="1"/>
  <c r="G80" i="1"/>
  <c r="C18" i="1"/>
  <c r="E64" i="1"/>
  <c r="M26" i="1"/>
  <c r="C14" i="1"/>
  <c r="M138" i="1"/>
  <c r="L97" i="1"/>
  <c r="B71" i="1"/>
  <c r="E42" i="1"/>
  <c r="E25" i="1"/>
  <c r="E17" i="1"/>
  <c r="N19" i="6"/>
  <c r="C4" i="6"/>
  <c r="D85" i="1"/>
  <c r="F42" i="1"/>
  <c r="N97" i="1"/>
  <c r="B43" i="1"/>
  <c r="N21" i="1"/>
  <c r="D19" i="6"/>
  <c r="P101" i="1"/>
  <c r="B81" i="1"/>
  <c r="E52" i="1"/>
  <c r="E36" i="1"/>
  <c r="Q27" i="1"/>
  <c r="F23" i="1"/>
  <c r="M17" i="1"/>
  <c r="D21" i="6"/>
  <c r="M136" i="1"/>
  <c r="C92" i="1"/>
  <c r="F63" i="1"/>
  <c r="C35" i="1"/>
  <c r="F22" i="1"/>
  <c r="H19" i="6"/>
  <c r="S129" i="1"/>
  <c r="G87" i="1"/>
  <c r="E59" i="1"/>
  <c r="E31" i="1"/>
  <c r="R20" i="1"/>
  <c r="O16" i="6"/>
  <c r="P97" i="1"/>
  <c r="F71" i="1"/>
  <c r="D50" i="1"/>
  <c r="C36" i="1"/>
  <c r="O27" i="1"/>
  <c r="D23" i="1"/>
  <c r="B18" i="1"/>
  <c r="E15" i="1"/>
  <c r="C22" i="6"/>
  <c r="N6" i="6"/>
  <c r="D3" i="6"/>
  <c r="S128" i="1"/>
  <c r="F101" i="1"/>
  <c r="E98" i="1"/>
  <c r="C94" i="1"/>
  <c r="B87" i="1"/>
  <c r="G79" i="1"/>
  <c r="G72" i="1"/>
  <c r="F65" i="1"/>
  <c r="E58" i="1"/>
  <c r="E51" i="1"/>
  <c r="D44" i="1"/>
  <c r="C37" i="1"/>
  <c r="G30" i="1"/>
  <c r="C28" i="1"/>
  <c r="P25" i="1"/>
  <c r="N20" i="1"/>
  <c r="B15" i="1"/>
  <c r="M119" i="1"/>
  <c r="F74" i="1"/>
  <c r="D23" i="6"/>
  <c r="R29" i="1"/>
  <c r="O98" i="1"/>
  <c r="B33" i="1"/>
  <c r="R15" i="1"/>
  <c r="B85" i="1"/>
  <c r="O29" i="1"/>
  <c r="N101" i="1"/>
  <c r="G28" i="1"/>
  <c r="B93" i="1"/>
  <c r="F32" i="1"/>
  <c r="J21" i="1"/>
  <c r="A6" i="6"/>
  <c r="S109" i="1"/>
  <c r="D92" i="1"/>
  <c r="C78" i="1"/>
  <c r="G56" i="1"/>
  <c r="E35" i="1"/>
  <c r="L27" i="1"/>
  <c r="C20" i="1"/>
  <c r="O22" i="1" l="1"/>
  <c r="H109" i="1"/>
  <c r="H118" i="1"/>
  <c r="H120" i="1"/>
  <c r="H123" i="1"/>
  <c r="B128" i="1"/>
  <c r="H111" i="1"/>
  <c r="B124" i="1"/>
  <c r="H128" i="1"/>
  <c r="B110" i="1"/>
  <c r="D117" i="1"/>
  <c r="H119" i="1"/>
  <c r="B122" i="1"/>
  <c r="D125" i="1"/>
  <c r="H130" i="1"/>
  <c r="N22" i="1"/>
  <c r="H110" i="1"/>
  <c r="H112" i="1"/>
  <c r="D122" i="1"/>
  <c r="B126" i="1"/>
  <c r="B131" i="1"/>
  <c r="J22" i="1"/>
  <c r="P22" i="1"/>
  <c r="B120" i="1"/>
  <c r="B121" i="1"/>
  <c r="H122" i="1"/>
  <c r="H124" i="1"/>
  <c r="H126" i="1"/>
  <c r="B129" i="1"/>
  <c r="P2" i="6"/>
  <c r="L22" i="1"/>
  <c r="R22" i="1"/>
  <c r="B117" i="1"/>
  <c r="B118" i="1"/>
  <c r="D119" i="1"/>
  <c r="D120" i="1"/>
  <c r="D121" i="1"/>
  <c r="D123" i="1"/>
  <c r="B125" i="1"/>
  <c r="B127" i="1"/>
  <c r="B130" i="1"/>
  <c r="M22" i="1"/>
  <c r="Q22" i="1"/>
  <c r="B109" i="1"/>
  <c r="B111" i="1"/>
  <c r="B112" i="1"/>
  <c r="H117" i="1"/>
  <c r="D118" i="1"/>
  <c r="B119" i="1"/>
  <c r="H121" i="1"/>
  <c r="B123" i="1"/>
  <c r="D124" i="1"/>
  <c r="H125" i="1"/>
  <c r="H127" i="1"/>
  <c r="H129" i="1"/>
  <c r="H131" i="1"/>
  <c r="J4" i="6"/>
  <c r="P29" i="6" l="1"/>
  <c r="P25" i="6"/>
  <c r="P21" i="6"/>
  <c r="P17" i="6"/>
  <c r="P11" i="6"/>
  <c r="P7" i="6"/>
  <c r="P3" i="6"/>
  <c r="P28" i="6"/>
  <c r="P23" i="6"/>
  <c r="P16" i="6"/>
  <c r="P14" i="6"/>
  <c r="P13" i="6"/>
  <c r="P6" i="6"/>
  <c r="P27" i="6"/>
  <c r="P20" i="6"/>
  <c r="P19" i="6"/>
  <c r="P10" i="6"/>
  <c r="P8" i="6"/>
  <c r="P26" i="6"/>
  <c r="P15" i="6"/>
  <c r="P9" i="6"/>
  <c r="P24" i="6"/>
  <c r="P22" i="6"/>
  <c r="P5" i="6"/>
  <c r="P4" i="6"/>
  <c r="P12" i="6"/>
  <c r="P18" i="6"/>
  <c r="J22" i="6"/>
  <c r="J21" i="6"/>
  <c r="J6" i="6"/>
  <c r="J15" i="6"/>
  <c r="J23" i="6"/>
  <c r="J20" i="6"/>
  <c r="J7" i="6"/>
  <c r="J9" i="6"/>
  <c r="J8" i="6"/>
  <c r="J5" i="6"/>
  <c r="J19" i="6"/>
  <c r="J17" i="6"/>
  <c r="J18" i="6"/>
  <c r="J16" i="6"/>
</calcChain>
</file>

<file path=xl/sharedStrings.xml><?xml version="1.0" encoding="utf-8"?>
<sst xmlns="http://schemas.openxmlformats.org/spreadsheetml/2006/main" count="443" uniqueCount="198">
  <si>
    <t>q19041502.IB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</si>
  <si>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</si>
  <si>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</si>
  <si>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</si>
  <si>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</si>
  <si>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</si>
  <si>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</si>
  <si>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</si>
  <si>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</si>
  <si>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</si>
  <si>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</si>
  <si>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</si>
  <si>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</si>
  <si>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</si>
  <si>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</si>
  <si>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</si>
  <si>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</si>
  <si>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</si>
  <si>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</si>
  <si>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</si>
  <si>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</si>
  <si>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</si>
  <si>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</si>
  <si>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125151.SH</t>
  </si>
  <si>
    <t>主体级别</t>
  </si>
  <si>
    <t>AA</t>
  </si>
  <si>
    <t>031329002.IB</t>
  </si>
  <si>
    <t>*选择性黏贴</t>
  </si>
  <si>
    <t>122186.SH</t>
  </si>
  <si>
    <t>数据年度</t>
  </si>
  <si>
    <t>2017年</t>
  </si>
  <si>
    <t>112045.SZ</t>
  </si>
  <si>
    <t>总资产</t>
  </si>
  <si>
    <t>112089.SZ</t>
  </si>
  <si>
    <t>负债率</t>
  </si>
  <si>
    <t>112150.SZ</t>
  </si>
  <si>
    <t>流动比率</t>
  </si>
  <si>
    <t>1282006.IB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</si>
  <si>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</si>
  <si>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</si>
  <si>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</si>
  <si>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</si>
  <si>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</si>
  <si>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</si>
  <si>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</si>
  <si>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</si>
  <si>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</si>
  <si>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</si>
  <si>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</si>
  <si>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</si>
  <si>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</si>
  <si>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</si>
  <si>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</si>
  <si>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</si>
  <si>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</si>
  <si>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</si>
  <si>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</si>
  <si>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</si>
  <si>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</si>
  <si>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</si>
  <si>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</si>
  <si>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</si>
  <si>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</si>
  <si>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</si>
  <si>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</si>
  <si>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</si>
  <si>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</si>
  <si>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</si>
  <si>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</si>
  <si>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</si>
  <si>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</si>
  <si>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</si>
  <si>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</si>
  <si>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</si>
  <si>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</si>
  <si>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</si>
  <si>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</si>
  <si>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</si>
  <si>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</si>
  <si>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</si>
  <si>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</si>
  <si>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</si>
  <si>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</si>
  <si>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</si>
  <si>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</si>
  <si>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</si>
  <si>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</si>
  <si>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</si>
  <si>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</si>
  <si>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</si>
  <si>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</si>
  <si>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</si>
  <si>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</si>
  <si>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</si>
  <si>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</si>
  <si>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</si>
  <si>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</si>
  <si>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</si>
  <si>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</si>
  <si>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</si>
  <si>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</si>
  <si>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</si>
  <si>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</si>
  <si>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</si>
  <si>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</si>
  <si>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</si>
  <si>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</si>
  <si>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</si>
  <si>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</si>
  <si>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</si>
  <si>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</si>
  <si>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</si>
  <si>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</si>
  <si>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</si>
  <si>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</si>
  <si>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</si>
  <si>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</si>
  <si>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</si>
  <si>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</si>
  <si>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</si>
  <si>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</si>
  <si>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101801048.IB</t>
  </si>
  <si>
    <t>20181129</t>
  </si>
  <si>
    <t>18渤海汽车MTN001</t>
  </si>
  <si>
    <t>041262031.IB</t>
  </si>
  <si>
    <t>20120717</t>
  </si>
  <si>
    <t>12渤海活塞CP001</t>
  </si>
  <si>
    <t>历史主体评级</t>
  </si>
  <si>
    <t>发布日期</t>
  </si>
  <si>
    <t>主体资信级别</t>
  </si>
  <si>
    <t>评级展望</t>
  </si>
  <si>
    <t>评级机构</t>
  </si>
  <si>
    <t>20190226</t>
  </si>
  <si>
    <t>稳定</t>
  </si>
  <si>
    <t>中诚信国际信用评级有限责任公司</t>
  </si>
  <si>
    <t>20180827</t>
  </si>
  <si>
    <t>20121217</t>
  </si>
  <si>
    <t>A+</t>
  </si>
  <si>
    <t>大公国际资信评估有限公司</t>
  </si>
  <si>
    <t>20111220</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</si>
  <si>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</si>
  <si>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</si>
  <si>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</si>
  <si>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</si>
  <si>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</si>
  <si>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</si>
  <si>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</si>
  <si>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</si>
  <si>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</si>
  <si>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</si>
  <si>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近一年来无同行业发债企业主体评级上调</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</si>
  <si>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</si>
  <si>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</si>
  <si>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</si>
  <si>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</si>
  <si>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</si>
  <si>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</si>
  <si>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</si>
  <si>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</si>
  <si>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</si>
  <si>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</si>
  <si>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</si>
  <si>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</si>
  <si>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</si>
  <si>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</si>
  <si>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</si>
  <si>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</si>
  <si>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</si>
  <si>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</si>
  <si>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</si>
  <si>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</si>
  <si>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</si>
  <si>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</si>
  <si>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</si>
  <si>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</si>
  <si>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</si>
  <si>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</si>
  <si>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</si>
  <si>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</si>
  <si>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渤海汽车系统股份有限公司</t>
  </si>
  <si>
    <t>地方国有企业</t>
  </si>
  <si>
    <t>可选消费--汽车与汽车零部件--汽车零配件--机动车零配件与设备</t>
  </si>
  <si>
    <t>山东省滨州市</t>
  </si>
  <si>
    <t>公司主要从事活塞及组件、专用数控机床、轻量化汽车零部件、汽车轮毂、汽车空调、减震器、排气系统、油箱、启停电池等多个产品的设计、开发、制造及销售，实现了汽车动力总成、底盘总成、热交换系统的产业布局，并试水新能源汽车零部件。公司子公司滨州渤海活塞有限公司是国内最大的活塞生产企业，多年来一直保持国内活塞产品产销量第一的位置，是国内极少数具备大批量生产欧Ⅳ、欧Ⅴ标准活塞产品能力的企业之一。公司子公司泰安启程是国内主要的铝合金车轮出口生产企业之一，产品主要出口到国际AM市场，并在国际AM市场上享有较高的声誉，在国际汽车铝轮AM细分市场上，处于国内企业前列。公司子公司海纳川(滨州)轻量化汽车部件有限公司是轻量化汽车部件研发生产基地，聚焦中高端市场，核心产品及研发方向定位于铝合金车身结构件(减震塔、前后轮罩、前后纵梁、AB柱等)、底盘部件(副车架等)。公司子公司博海精机专注于汽车零部件制造的专用设备研发和自动化、智能化工程，拥有50多年的专用设备研制经验以及国内领先的研发制造装备和检测能力，主要产品已出口到东南亚、美洲、俄罗斯等市场。</t>
  </si>
  <si>
    <t>北京海纳川汽车部件股份有限公司</t>
  </si>
  <si>
    <t>北京汽车集团有限公司</t>
  </si>
  <si>
    <t>广西铁投创新资本投资有限公司</t>
  </si>
  <si>
    <t>旗鱼资本专项1期私募基金</t>
  </si>
  <si>
    <t>九泰久利灵活配置混合型证券投资基金</t>
  </si>
  <si>
    <t>A-1</t>
  </si>
  <si>
    <t>隆鑫控股有限公司</t>
  </si>
  <si>
    <t>奇瑞汽车股份有限公司</t>
  </si>
  <si>
    <t>力帆实业(集团)股份有限公司</t>
  </si>
  <si>
    <t>重庆宗申动力机械股份有限公司</t>
  </si>
  <si>
    <t>浙江万丰奥威汽轮股份有限公司</t>
  </si>
  <si>
    <t>浙江银轮机械股份有限公司</t>
  </si>
  <si>
    <t>陕西汽车集团有限责任公司</t>
  </si>
  <si>
    <t>民营企业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</si>
</sst>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6">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6">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2" fillId="4" borderId="10" xfId="0" applyFont="1" applyFill="1" applyBorder="1" applyAlignment="1">
      <alignment horizontal="left" vertical="center" wrapText="1"/>
    </xf>
    <xf numFmtId="0" fontId="0" fillId="0" borderId="0" xfId="0" applyAlignment="1"/>
    <xf numFmtId="0" fontId="2" fillId="0" borderId="2" xfId="0" applyFont="1" applyBorder="1" applyAlignment="1">
      <alignment horizontal="left" vertical="center" wrapText="1"/>
    </xf>
    <xf numFmtId="0" fontId="4" fillId="2" borderId="6" xfId="0" applyFont="1" applyFill="1" applyBorder="1" applyAlignment="1">
      <alignment horizontal="right" vertical="center" wrapText="1"/>
    </xf>
    <xf numFmtId="0" fontId="0" fillId="0" borderId="0" xfId="0" applyAlignment="1">
      <alignment vertical="center"/>
    </xf>
    <xf numFmtId="0" fontId="2" fillId="2" borderId="6" xfId="0"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177" fontId="4"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1" fillId="0" borderId="7" xfId="0" applyFont="1" applyBorder="1" applyAlignment="1">
      <alignment horizontal="center" vertical="center" wrapText="1"/>
    </xf>
    <xf numFmtId="0" fontId="7" fillId="0" borderId="0" xfId="0" applyFont="1" applyAlignment="1">
      <alignment vertical="center"/>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7" fillId="3" borderId="12" xfId="0" applyFont="1" applyFill="1" applyBorder="1" applyAlignment="1">
      <alignment horizontal="center" vertical="center"/>
    </xf>
    <xf numFmtId="0" fontId="0" fillId="0" borderId="12" xfId="0" applyBorder="1" applyAlignment="1"/>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0" fontId="7" fillId="2" borderId="12" xfId="0" applyFont="1" applyFill="1" applyBorder="1" applyAlignment="1">
      <alignment vertical="center" wrapText="1"/>
    </xf>
    <xf numFmtId="0" fontId="14" fillId="0" borderId="8" xfId="0" applyFont="1" applyBorder="1" applyAlignment="1">
      <alignment horizontal="center" vertical="center" wrapText="1"/>
    </xf>
    <xf numFmtId="0" fontId="4" fillId="2" borderId="12" xfId="0" applyFont="1" applyFill="1" applyBorder="1" applyAlignment="1">
      <alignment horizontal="left" vertical="center" wrapText="1"/>
    </xf>
    <xf numFmtId="0" fontId="24" fillId="0" borderId="12" xfId="0" applyFont="1" applyBorder="1" applyAlignment="1">
      <alignment horizontal="center" vertical="center"/>
    </xf>
    <xf numFmtId="0" fontId="2" fillId="0" borderId="1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14" fillId="0" borderId="2" xfId="0" applyFont="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12" xfId="0" applyFont="1" applyBorder="1" applyAlignment="1">
      <alignment horizontal="center" vertical="center" wrapText="1"/>
    </xf>
    <xf numFmtId="181" fontId="2" fillId="2" borderId="12" xfId="0" applyNumberFormat="1" applyFont="1" applyFill="1" applyBorder="1" applyAlignment="1">
      <alignment horizontal="center" vertical="center" wrapText="1"/>
    </xf>
    <xf numFmtId="182" fontId="2" fillId="2" borderId="12" xfId="0" applyNumberFormat="1"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F21" sqref="F21"/>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32" t="s">
        <v>1</v>
      </c>
      <c r="B3" s="123"/>
      <c r="C3" s="123"/>
      <c r="D3" s="123"/>
      <c r="E3" s="123"/>
      <c r="F3" s="123"/>
      <c r="G3" s="123"/>
    </row>
    <row r="4" spans="1:20" s="17" customFormat="1" ht="13.5" customHeight="1" x14ac:dyDescent="0.25">
      <c r="A4" s="57" t="s">
        <v>2</v>
      </c>
      <c r="B4" s="133" t="str">
        <f>[1]!b_info_issuerupdated(A2)</f>
        <v>渤海汽车系统股份有限公司</v>
      </c>
      <c r="C4" s="128"/>
      <c r="D4" s="57" t="s">
        <v>3</v>
      </c>
      <c r="E4" s="133" t="str">
        <f>[1]!s_info_nature(A2)</f>
        <v>地方国有企业</v>
      </c>
      <c r="F4" s="128"/>
      <c r="G4" s="128"/>
      <c r="H4" s="19"/>
    </row>
    <row r="5" spans="1:20" s="17" customFormat="1" ht="14.25" customHeight="1" x14ac:dyDescent="0.25">
      <c r="A5" s="57" t="s">
        <v>4</v>
      </c>
      <c r="B5" s="133" t="str">
        <f>[1]!b_issuer_windindustry(A2,9)</f>
        <v>可选消费--汽车与汽车零部件--汽车零配件--机动车零配件与设备</v>
      </c>
      <c r="C5" s="128"/>
      <c r="D5" s="57" t="s">
        <v>5</v>
      </c>
      <c r="E5" s="133" t="str">
        <f>[1]!b_issuer_regaddress(A2)</f>
        <v>山东省滨州市</v>
      </c>
      <c r="F5" s="128"/>
      <c r="G5" s="128"/>
    </row>
    <row r="6" spans="1:20" s="17" customFormat="1" ht="81" customHeight="1" x14ac:dyDescent="0.25">
      <c r="A6" s="57" t="s">
        <v>6</v>
      </c>
      <c r="B6" s="131" t="str">
        <f>[1]!s_info_briefing(A2)</f>
        <v>公司主要从事活塞及组件、专用数控机床、轻量化汽车零部件、汽车轮毂、汽车空调、减震器、排气系统、油箱、启停电池等多个产品的设计、开发、制造及销售，实现了汽车动力总成、底盘总成、热交换系统的产业布局，并试水新能源汽车零部件。公司子公司滨州渤海活塞有限公司是国内最大的活塞生产企业，多年来一直保持国内活塞产品产销量第一的位置，是国内极少数具备大批量生产欧Ⅳ、欧Ⅴ标准活塞产品能力的企业之一。公司子公司泰安启程是国内主要的铝合金车轮出口生产企业之一，产品主要出口到国际AM市场，并在国际AM市场上享有较高的声誉，在国际汽车铝轮AM细分市场上，处于国内企业前列。公司子公司海纳川(滨州)轻量化汽车部件有限公司是轻量化汽车部件研发生产基地，聚焦中高端市场，核心产品及研发方向定位于铝合金车身结构件(减震塔、前后轮罩、前后纵梁、AB柱等)、底盘部件(副车架等)。公司子公司博海精机专注于汽车零部件制造的专用设备研发和自动化、智能化工程，拥有50多年的专用设备研制经验以及国内领先的研发制造装备和检测能力，主要产品已出口到东南亚、美洲、俄罗斯等市场。</v>
      </c>
      <c r="C6" s="128"/>
      <c r="D6" s="128"/>
      <c r="E6" s="128"/>
      <c r="F6" s="128"/>
      <c r="G6" s="128"/>
    </row>
    <row r="7" spans="1:20" s="17" customFormat="1" x14ac:dyDescent="0.25">
      <c r="A7" s="58" t="s">
        <v>7</v>
      </c>
      <c r="B7" s="127" t="str">
        <f>[1]!b_issuer_shareholder(A2,"",1)</f>
        <v>北京海纳川汽车部件股份有限公司</v>
      </c>
      <c r="C7" s="128"/>
      <c r="D7" s="128"/>
      <c r="E7" s="128"/>
      <c r="F7" s="60">
        <f>[1]!b_issuer_propofshareholder($A$2,"",1)%</f>
        <v>0.23040000915527345</v>
      </c>
      <c r="G7" s="59"/>
      <c r="H7" s="20" t="s">
        <v>8</v>
      </c>
      <c r="M7" s="24">
        <v>42004</v>
      </c>
      <c r="N7" s="24">
        <v>42369</v>
      </c>
      <c r="O7" s="24">
        <v>41639</v>
      </c>
      <c r="P7" s="61" t="s">
        <v>9</v>
      </c>
      <c r="Q7" s="61" t="s">
        <v>10</v>
      </c>
      <c r="R7" s="61" t="s">
        <v>11</v>
      </c>
    </row>
    <row r="8" spans="1:20" s="17" customFormat="1" x14ac:dyDescent="0.25">
      <c r="A8" s="58"/>
      <c r="B8" s="127" t="str">
        <f>[1]!b_issuer_shareholder(A2,"",2)</f>
        <v>北京汽车集团有限公司</v>
      </c>
      <c r="C8" s="128"/>
      <c r="D8" s="128"/>
      <c r="E8" s="128"/>
      <c r="F8" s="60">
        <f>[1]!b_issuer_propofshareholder($A$2,"",2)%</f>
        <v>0.21709999084472656</v>
      </c>
      <c r="G8" s="59"/>
      <c r="H8" s="20"/>
      <c r="M8" s="25"/>
      <c r="O8" s="25"/>
      <c r="P8" s="62"/>
    </row>
    <row r="9" spans="1:20" s="17" customFormat="1" x14ac:dyDescent="0.25">
      <c r="A9" s="58"/>
      <c r="B9" s="127" t="str">
        <f>[1]!b_issuer_shareholder(A2,"",3)</f>
        <v>广西铁投创新资本投资有限公司</v>
      </c>
      <c r="C9" s="128"/>
      <c r="D9" s="128"/>
      <c r="E9" s="128"/>
      <c r="F9" s="60">
        <f>[1]!b_issuer_propofshareholder($A$2,"",3)%</f>
        <v>0.02</v>
      </c>
      <c r="G9" s="59"/>
      <c r="H9" s="20"/>
      <c r="M9" s="25"/>
      <c r="O9" s="25"/>
      <c r="P9" s="62"/>
    </row>
    <row r="10" spans="1:20" s="17" customFormat="1" x14ac:dyDescent="0.25">
      <c r="A10" s="58"/>
      <c r="B10" s="127" t="str">
        <f>[1]!b_issuer_shareholder(A2,"",4)</f>
        <v>旗鱼资本专项1期私募基金</v>
      </c>
      <c r="C10" s="128"/>
      <c r="D10" s="128"/>
      <c r="E10" s="128"/>
      <c r="F10" s="60">
        <f>[1]!b_issuer_propofshareholder($A$2,"",4)%</f>
        <v>0.02</v>
      </c>
      <c r="G10" s="59"/>
      <c r="H10" s="20"/>
      <c r="M10" s="25"/>
      <c r="O10" s="25"/>
      <c r="P10" s="62"/>
    </row>
    <row r="11" spans="1:20" s="17" customFormat="1" x14ac:dyDescent="0.25">
      <c r="A11" s="58"/>
      <c r="B11" s="127" t="str">
        <f>[1]!b_issuer_shareholder(A2,"",5)</f>
        <v>九泰久利灵活配置混合型证券投资基金</v>
      </c>
      <c r="C11" s="128"/>
      <c r="D11" s="128"/>
      <c r="E11" s="128"/>
      <c r="F11" s="60">
        <f>[1]!b_issuer_propofshareholder($A$2,"",5)%</f>
        <v>1.9800000190734864E-2</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q19041502.IB</v>
      </c>
      <c r="K14" s="26"/>
      <c r="L14" s="27" t="str">
        <f>T15</f>
        <v>125151.SH</v>
      </c>
      <c r="M14" s="27" t="str">
        <f>T16</f>
        <v>031329002.IB</v>
      </c>
      <c r="N14" s="27" t="str">
        <f>T17</f>
        <v>122186.SH</v>
      </c>
      <c r="O14" s="27" t="str">
        <f>T18</f>
        <v>112045.SZ</v>
      </c>
      <c r="P14" s="27" t="str">
        <f>T19</f>
        <v>112089.SZ</v>
      </c>
      <c r="Q14" s="27" t="str">
        <f>T20</f>
        <v>112150.SZ</v>
      </c>
      <c r="R14" s="5" t="str">
        <f>T21</f>
        <v>1282006.IB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渤海汽车系统股份有限公司</v>
      </c>
      <c r="K15" s="112"/>
      <c r="L15" s="8" t="str">
        <f>[1]!b_info_issuer(L14)</f>
        <v>隆鑫控股有限公司</v>
      </c>
      <c r="M15" s="8" t="str">
        <f>[1]!b_info_issuer(M14)</f>
        <v>奇瑞汽车股份有限公司</v>
      </c>
      <c r="N15" s="8" t="str">
        <f>[1]!b_info_issuer(N14)</f>
        <v>力帆实业(集团)股份有限公司</v>
      </c>
      <c r="O15" s="8" t="str">
        <f>[1]!b_info_issuer(O14)</f>
        <v>重庆宗申动力机械股份有限公司</v>
      </c>
      <c r="P15" s="8" t="str">
        <f>[1]!b_info_issuer(P14)</f>
        <v>浙江万丰奥威汽轮股份有限公司</v>
      </c>
      <c r="Q15" s="8" t="str">
        <f>[1]!b_info_issuer(Q14)</f>
        <v>浙江银轮机械股份有限公司</v>
      </c>
      <c r="R15" s="8" t="str">
        <f>[1]!b_info_issuer(R14)</f>
        <v>陕西汽车集团有限责任公司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13"/>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13"/>
      <c r="L17" s="66" t="str">
        <f>[1]!s_info_nature(L14)</f>
        <v>民营企业</v>
      </c>
      <c r="M17" s="66" t="str">
        <f>[1]!s_info_nature(M14)</f>
        <v>地方国有企业</v>
      </c>
      <c r="N17" s="66" t="str">
        <f>[1]!s_info_nature(N14)</f>
        <v>民营企业</v>
      </c>
      <c r="O17" s="66" t="str">
        <f>[1]!s_info_nature(O14)</f>
        <v>民营企业</v>
      </c>
      <c r="P17" s="66" t="str">
        <f>[1]!s_info_nature(P14)</f>
        <v>民营企业</v>
      </c>
      <c r="Q17" s="66" t="str">
        <f>[1]!s_info_nature(Q14)</f>
        <v>民营企业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13"/>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67.813383780400002</v>
      </c>
      <c r="K19" s="113"/>
      <c r="L19" s="67">
        <f>[1]!b_stm07_bs(L14,74,L13,1)/100000000</f>
        <v>457.55917475500002</v>
      </c>
      <c r="M19" s="67">
        <f>[1]!b_stm07_bs(M14,74,M13,1)/100000000</f>
        <v>830.89502196600006</v>
      </c>
      <c r="N19" s="67">
        <f>[1]!b_stm07_bs(N14,74,N13,1)/100000000</f>
        <v>300.20483774550001</v>
      </c>
      <c r="O19" s="67">
        <f>[1]!b_stm07_bs(O14,74,O13,1)/100000000</f>
        <v>69.307013935399993</v>
      </c>
      <c r="P19" s="67">
        <f>[1]!b_stm07_bs(P14,74,P13,1)/100000000</f>
        <v>100.49137584540001</v>
      </c>
      <c r="Q19" s="67">
        <f>[1]!b_stm07_bs(Q14,74,Q13,1)/100000000</f>
        <v>66.781070881999995</v>
      </c>
      <c r="R19" s="67">
        <f>[1]!b_stm07_bs(R14,74,R13,1)/100000000</f>
        <v>0</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0.305504</v>
      </c>
      <c r="K20" s="113"/>
      <c r="L20" s="10">
        <f>[1]!s_fa_debttoassets(L14,L13)/100</f>
        <v>0.69160700000000008</v>
      </c>
      <c r="M20" s="10">
        <f>[1]!s_fa_debttoassets(M14,M13)/100</f>
        <v>0.75078400000000001</v>
      </c>
      <c r="N20" s="10">
        <f>[1]!s_fa_debttoassets(N14,N13)/100</f>
        <v>0.75717900000000005</v>
      </c>
      <c r="O20" s="10">
        <f>[1]!s_fa_debttoassets(O14,O13)/100</f>
        <v>0.39628999999999998</v>
      </c>
      <c r="P20" s="10">
        <f>[1]!s_fa_debttoassets(P14,P13)/100</f>
        <v>0.34983700000000001</v>
      </c>
      <c r="Q20" s="10">
        <f>[1]!s_fa_debttoassets(Q14,Q13)/100</f>
        <v>0.44767299999999999</v>
      </c>
      <c r="R20" s="10">
        <f>[1]!s_fa_debttoassets(R14,R13)/100</f>
        <v>0</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2.1715</v>
      </c>
      <c r="K21" s="113"/>
      <c r="L21" s="67">
        <f>[1]!s_fa_current(L14,L13)</f>
        <v>1.0992999999999999</v>
      </c>
      <c r="M21" s="67">
        <f>[1]!s_fa_current(M14,M13)</f>
        <v>1.0697000000000001</v>
      </c>
      <c r="N21" s="67">
        <f>[1]!s_fa_current(N14,N13)</f>
        <v>0.80659999999999998</v>
      </c>
      <c r="O21" s="67">
        <f>[1]!s_fa_current(O14,O13)</f>
        <v>1.8742000000000001</v>
      </c>
      <c r="P21" s="67">
        <f>[1]!s_fa_current(P14,P13)</f>
        <v>1.8808</v>
      </c>
      <c r="Q21" s="67">
        <f>[1]!s_fa_current(Q14,Q13)</f>
        <v>1.3206</v>
      </c>
      <c r="R21" s="67">
        <f>[1]!s_fa_current(R14,R13)</f>
        <v>0</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0.22660855506167651</v>
      </c>
      <c r="K22" s="113"/>
      <c r="L22" s="65">
        <f>(公式页!L96+公式页!L97+公式页!L98+公式页!L99+公式页!L100+公式页!L101)/公式页!L103</f>
        <v>1.6594732248759128</v>
      </c>
      <c r="M22" s="65">
        <f t="shared" ref="M22:R22" si="0">(M96+M97+M98+M99+M100+M101)/M103</f>
        <v>1.8827360773360748</v>
      </c>
      <c r="N22" s="65">
        <f t="shared" si="0"/>
        <v>2.0001585903227768</v>
      </c>
      <c r="O22" s="65">
        <f t="shared" si="0"/>
        <v>0.41858455944008527</v>
      </c>
      <c r="P22" s="65">
        <f t="shared" si="0"/>
        <v>0.17334670574621991</v>
      </c>
      <c r="Q22" s="65">
        <f t="shared" si="0"/>
        <v>0.25595840363654748</v>
      </c>
      <c r="R22" s="65" t="e">
        <f t="shared" si="0"/>
        <v>#DIV/0!</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0.2384</v>
      </c>
      <c r="K23" s="113"/>
      <c r="L23" s="67">
        <f>[1]!s_fa_ebitdatodebt(L14,L13)</f>
        <v>0.1069</v>
      </c>
      <c r="M23" s="67">
        <f>[1]!s_fa_ebitdatodebt(M14,M13)</f>
        <v>6.5799999999999997E-2</v>
      </c>
      <c r="N23" s="67">
        <f>[1]!s_fa_ebitdatodebt(N14,N13)</f>
        <v>5.21E-2</v>
      </c>
      <c r="O23" s="67">
        <f>[1]!s_fa_ebitdatodebt(O14,O13)</f>
        <v>0.20910000000000001</v>
      </c>
      <c r="P23" s="67">
        <f>[1]!s_fa_ebitdatodebt(P14,P13)</f>
        <v>0.49580000000000002</v>
      </c>
      <c r="Q23" s="67">
        <f>[1]!s_fa_ebitdatodebt(Q14,Q13)</f>
        <v>0.20319999999999999</v>
      </c>
      <c r="R23" s="67">
        <f>[1]!s_fa_ebitdatodebt(R14,R13)</f>
        <v>0</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24.985471355399998</v>
      </c>
      <c r="K24" s="113"/>
      <c r="L24" s="67">
        <f>[1]!b_stm07_is(L14,9,L13,1)/100000000</f>
        <v>315.91135303790003</v>
      </c>
      <c r="M24" s="67">
        <f>[1]!b_stm07_is(M14,9,M13,1)/100000000</f>
        <v>294.71420228259996</v>
      </c>
      <c r="N24" s="67">
        <f>[1]!b_stm07_is(N14,9,N13,1)/100000000</f>
        <v>126.0044352705</v>
      </c>
      <c r="O24" s="67">
        <f>[1]!b_stm07_is(O14,9,O13,1)/100000000</f>
        <v>50.228282127700005</v>
      </c>
      <c r="P24" s="67">
        <f>[1]!b_stm07_is(P14,9,P13,1)/100000000</f>
        <v>101.7722682799</v>
      </c>
      <c r="Q24" s="67">
        <f>[1]!b_stm07_is(Q14,9,Q13,1)/100000000</f>
        <v>43.232631451000003</v>
      </c>
      <c r="R24" s="67">
        <f>[1]!b_stm07_is(R14,9,R13,1)/100000000</f>
        <v>0</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0.9375</v>
      </c>
      <c r="K25" s="113"/>
      <c r="L25" s="11">
        <f>[1]!s_fa_salescashintoor(L14,L13)%</f>
        <v>1.0069999999999999</v>
      </c>
      <c r="M25" s="11">
        <f>[1]!s_fa_salescashintoor(M14,M13)%</f>
        <v>0.89290000000000003</v>
      </c>
      <c r="N25" s="11">
        <f>[1]!s_fa_salescashintoor(N14,N13)%</f>
        <v>0.90239999999999998</v>
      </c>
      <c r="O25" s="11">
        <f>[1]!s_fa_salescashintoor(O14,O13)%</f>
        <v>1.0044999999999999</v>
      </c>
      <c r="P25" s="11">
        <f>[1]!s_fa_salescashintoor(P14,P13)%</f>
        <v>0.92749999999999999</v>
      </c>
      <c r="Q25" s="11">
        <f>[1]!s_fa_salescashintoor(Q14,Q13)%</f>
        <v>0.59279999999999999</v>
      </c>
      <c r="R25" s="11">
        <f>[1]!s_fa_salescashintoor(R14,R13)%</f>
        <v>0</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0.20866700000000002</v>
      </c>
      <c r="K26" s="113"/>
      <c r="L26" s="11">
        <f>[1]!s_fa_grossprofitmargin(L14,L13)%</f>
        <v>0.141071</v>
      </c>
      <c r="M26" s="11">
        <f>[1]!s_fa_grossprofitmargin(M14,M13)%</f>
        <v>6.7823999999999995E-2</v>
      </c>
      <c r="N26" s="11">
        <f>[1]!s_fa_grossprofitmargin(N14,N13)%</f>
        <v>0.13001200000000002</v>
      </c>
      <c r="O26" s="11">
        <f>[1]!s_fa_grossprofitmargin(O14,O13)%</f>
        <v>0.16546</v>
      </c>
      <c r="P26" s="11">
        <f>[1]!s_fa_grossprofitmargin(P14,P13)%</f>
        <v>0.20172499999999999</v>
      </c>
      <c r="Q26" s="11">
        <f>[1]!s_fa_grossprofitmargin(Q14,Q13)%</f>
        <v>0.26158700000000001</v>
      </c>
      <c r="R26" s="11">
        <f>[1]!s_fa_grossprofitmargin(R14,R13)%</f>
        <v>0</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2.3316157633000003</v>
      </c>
      <c r="K27" s="113"/>
      <c r="L27" s="68">
        <f>[1]!b_stm07_is(L14,60,L13,1)/100000000</f>
        <v>10.134381446499999</v>
      </c>
      <c r="M27" s="68">
        <f>[1]!b_stm07_is(M14,60,M13,1)/100000000</f>
        <v>2.644602318</v>
      </c>
      <c r="N27" s="68">
        <f>[1]!b_stm07_is(N14,60,N13,1)/100000000</f>
        <v>1.555899514</v>
      </c>
      <c r="O27" s="68">
        <f>[1]!b_stm07_is(O14,60,O13,1)/100000000</f>
        <v>3.3666801129000001</v>
      </c>
      <c r="P27" s="68">
        <f>[1]!b_stm07_is(P14,60,P13,1)/100000000</f>
        <v>9.998207454600001</v>
      </c>
      <c r="Q27" s="68">
        <f>[1]!b_stm07_is(Q14,60,Q13,1)/100000000</f>
        <v>3.4325537339999999</v>
      </c>
      <c r="R27" s="68">
        <f>[1]!b_stm07_is(R14,60,R13,1)/100000000</f>
        <v>0</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5.4211999999999996E-2</v>
      </c>
      <c r="K28" s="113"/>
      <c r="L28" s="10">
        <f>[1]!s_fa_roe(L14,L13)%</f>
        <v>5.4600999999999997E-2</v>
      </c>
      <c r="M28" s="10">
        <f>[1]!s_fa_roe(M14,M13)%</f>
        <v>1.4369E-2</v>
      </c>
      <c r="N28" s="10">
        <f>[1]!s_fa_roe(N14,N13)%</f>
        <v>2.4496000000000004E-2</v>
      </c>
      <c r="O28" s="10">
        <f>[1]!s_fa_roe(O14,O13)%</f>
        <v>7.4741000000000002E-2</v>
      </c>
      <c r="P28" s="10">
        <f>[1]!s_fa_roe(P14,P13)%</f>
        <v>0.15920799999999999</v>
      </c>
      <c r="Q28" s="10">
        <f>[1]!s_fa_roe(Q14,Q13)%</f>
        <v>0.110152</v>
      </c>
      <c r="R28" s="10">
        <f>[1]!s_fa_roe(R14,R13)%</f>
        <v>0</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-0.57204195060000007</v>
      </c>
      <c r="K29" s="113"/>
      <c r="L29" s="68">
        <f>[1]!b_stm07_cs(L14,39,L13,1)/100000000</f>
        <v>35.310391960300002</v>
      </c>
      <c r="M29" s="68">
        <f>[1]!b_stm07_cs(M14,39,M13,1)/100000000</f>
        <v>-31.2222580886</v>
      </c>
      <c r="N29" s="68">
        <f>[1]!b_stm07_cs(N14,39,N13,1)/100000000</f>
        <v>-3.3039008224000002</v>
      </c>
      <c r="O29" s="68">
        <f>[1]!b_stm07_cs(O14,39,O13,1)/100000000</f>
        <v>-2.3496047178000001</v>
      </c>
      <c r="P29" s="68">
        <f>[1]!b_stm07_cs(P14,39,P13,1)/100000000</f>
        <v>9.6955292411000009</v>
      </c>
      <c r="Q29" s="68">
        <f>[1]!b_stm07_cs(Q14,39,Q13,1)/100000000</f>
        <v>2.7773047126999999</v>
      </c>
      <c r="R29" s="68">
        <f>[1]!b_stm07_cs(R14,39,R13,1)/100000000</f>
        <v>0</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803000000</v>
      </c>
      <c r="K96" s="70"/>
      <c r="L96" s="70">
        <f>[1]!b_stm07_bs(L14,75,L13,1)</f>
        <v>9835138817.0900002</v>
      </c>
      <c r="M96" s="70">
        <f>[1]!b_stm07_bs(M14,75,M13,1)</f>
        <v>14674446860.309999</v>
      </c>
      <c r="N96" s="70">
        <f>[1]!b_stm07_bs(N14,75,N13,1)</f>
        <v>10919039223.559999</v>
      </c>
      <c r="O96" s="70">
        <f>[1]!b_stm07_bs(O14,75,O13,1)</f>
        <v>1167425565.8800001</v>
      </c>
      <c r="P96" s="70">
        <f>[1]!b_stm07_bs(P14,75,P13,1)</f>
        <v>557680844.63999999</v>
      </c>
      <c r="Q96" s="70">
        <f>[1]!b_stm07_bs(Q14,75,Q13,1)</f>
        <v>247323273.22999999</v>
      </c>
      <c r="R96" s="70">
        <f>[1]!b_stm07_bs(R14,75,R13,1)</f>
        <v>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0</v>
      </c>
      <c r="K97" s="70"/>
      <c r="L97" s="70">
        <f>[1]!b_stm07_bs(L14,82,L13,1)</f>
        <v>53885767</v>
      </c>
      <c r="M97" s="70">
        <f>[1]!b_stm07_bs(M14,82,M13,1)</f>
        <v>219135866.06</v>
      </c>
      <c r="N97" s="70">
        <f>[1]!b_stm07_bs(N14,82,N13,1)</f>
        <v>130502568.09</v>
      </c>
      <c r="O97" s="70">
        <f>[1]!b_stm07_bs(O14,82,O13,1)</f>
        <v>3987829.91</v>
      </c>
      <c r="P97" s="70">
        <f>[1]!b_stm07_bs(P14,82,P13,1)</f>
        <v>2389210.14</v>
      </c>
      <c r="Q97" s="70">
        <f>[1]!b_stm07_bs(Q14,82,Q13,1)</f>
        <v>28050714.309999999</v>
      </c>
      <c r="R97" s="70">
        <f>[1]!b_stm07_bs(R14,82,R13,1)</f>
        <v>0</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60000000</v>
      </c>
      <c r="K98" s="70"/>
      <c r="L98" s="70">
        <f>[1]!b_stm07_bs(L14,88,L13,1)</f>
        <v>2071971798.3599999</v>
      </c>
      <c r="M98" s="70">
        <f>[1]!b_stm07_bs(M14,88,M13,1)</f>
        <v>5440487570.8100004</v>
      </c>
      <c r="N98" s="70">
        <f>[1]!b_stm07_bs(N14,88,N13,1)</f>
        <v>2036128593.4100001</v>
      </c>
      <c r="O98" s="70">
        <f>[1]!b_stm07_bs(O14,88,O13,1)</f>
        <v>60000000</v>
      </c>
      <c r="P98" s="70">
        <f>[1]!b_stm07_bs(P14,88,P13,1)</f>
        <v>175978297.21000001</v>
      </c>
      <c r="Q98" s="70">
        <f>[1]!b_stm07_bs(Q14,88,Q13,1)</f>
        <v>538289736.23000002</v>
      </c>
      <c r="R98" s="70">
        <f>[1]!b_stm07_bs(R14,88,R13,1)</f>
        <v>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204238861.30000001</v>
      </c>
      <c r="K100" s="70"/>
      <c r="L100" s="70">
        <f>[1]!b_stm07_bs(L14,94,L13,1)</f>
        <v>10033029214.700001</v>
      </c>
      <c r="M100" s="70">
        <f>[1]!b_stm07_bs(M14,94,M13,1)</f>
        <v>14652238526.549999</v>
      </c>
      <c r="N100" s="70">
        <f>[1]!b_stm07_bs(N14,94,N13,1)</f>
        <v>600000000</v>
      </c>
      <c r="O100" s="70">
        <f>[1]!b_stm07_bs(O14,94,O13,1)</f>
        <v>520000000</v>
      </c>
      <c r="P100" s="70">
        <f>[1]!b_stm07_bs(P14,94,P13,1)</f>
        <v>396525250.86000001</v>
      </c>
      <c r="Q100" s="70">
        <f>[1]!b_stm07_bs(Q14,94,Q13,1)</f>
        <v>130439060</v>
      </c>
      <c r="R100" s="70">
        <f>[1]!b_stm07_bs(R14,94,R13,1)</f>
        <v>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0</v>
      </c>
      <c r="K101" s="70"/>
      <c r="L101" s="70">
        <f>[1]!b_stm07_bs(L14,95,L13,1)</f>
        <v>1422461625.1800001</v>
      </c>
      <c r="M101" s="70">
        <f>[1]!b_stm07_bs(M14,95,M13,1)</f>
        <v>4000000000</v>
      </c>
      <c r="N101" s="70">
        <f>[1]!b_stm07_bs(N14,95,N13,1)</f>
        <v>894722541.24000001</v>
      </c>
      <c r="O101" s="70">
        <f>[1]!b_stm07_bs(O14,95,O13,1)</f>
        <v>0</v>
      </c>
      <c r="P101" s="70">
        <f>[1]!b_stm07_bs(P14,95,P13,1)</f>
        <v>0</v>
      </c>
      <c r="Q101" s="70">
        <f>[1]!b_stm07_bs(Q14,95,Q13,1)</f>
        <v>0</v>
      </c>
      <c r="R101" s="70">
        <f>[1]!b_stm07_bs(R14,95,R13,1)</f>
        <v>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4709614167.0799999</v>
      </c>
      <c r="K103" s="70"/>
      <c r="L103" s="70">
        <f>[1]!b_stm07_bs(L14,141,L13,1)</f>
        <v>14110795444.790001</v>
      </c>
      <c r="M103" s="70">
        <f>[1]!b_stm07_bs(M14,141,M13,1)</f>
        <v>20707261784.080002</v>
      </c>
      <c r="N103" s="70">
        <f>[1]!b_stm07_bs(N14,141,N13,1)</f>
        <v>7289618431.6800003</v>
      </c>
      <c r="O103" s="70">
        <f>[1]!b_stm07_bs(O14,141,O13,1)</f>
        <v>4184132826.4299998</v>
      </c>
      <c r="P103" s="70">
        <f>[1]!b_stm07_bs(P14,141,P13,1)</f>
        <v>6533574422.2799997</v>
      </c>
      <c r="Q103" s="70">
        <f>[1]!b_stm07_bs(Q14,141,Q13,1)</f>
        <v>3688500828.0900002</v>
      </c>
      <c r="R103" s="70">
        <f>[1]!b_stm07_bs(R14,141,R13,1)</f>
        <v>0</v>
      </c>
    </row>
    <row r="106" spans="1:19" ht="14.25" customHeight="1" x14ac:dyDescent="0.25">
      <c r="A106" s="122" t="s">
        <v>54</v>
      </c>
      <c r="B106" s="123"/>
      <c r="C106" s="123"/>
      <c r="D106" s="113"/>
      <c r="E106" s="113"/>
      <c r="F106" s="113"/>
      <c r="G106" s="113"/>
      <c r="H106" s="113"/>
      <c r="I106" s="113"/>
      <c r="J106" s="113"/>
      <c r="L106" s="17"/>
      <c r="M106" s="17"/>
    </row>
    <row r="107" spans="1:19" x14ac:dyDescent="0.25">
      <c r="A107" s="121" t="s">
        <v>55</v>
      </c>
      <c r="B107" s="123"/>
      <c r="C107" s="123"/>
      <c r="D107" s="113"/>
      <c r="E107" s="113"/>
      <c r="F107" s="113"/>
      <c r="G107" s="129">
        <v>2017</v>
      </c>
      <c r="H107" s="113"/>
      <c r="I107" s="113"/>
      <c r="J107" s="113"/>
      <c r="K107" s="40" t="str">
        <f>A2</f>
        <v>q19041502.IB</v>
      </c>
      <c r="L107" s="33">
        <f>B2</f>
        <v>43100</v>
      </c>
      <c r="M107" s="17"/>
    </row>
    <row r="108" spans="1:19" ht="12.75" customHeight="1" x14ac:dyDescent="0.25">
      <c r="A108" s="130" t="s">
        <v>56</v>
      </c>
      <c r="B108" s="123"/>
      <c r="C108" s="130" t="s">
        <v>57</v>
      </c>
      <c r="D108" s="113"/>
      <c r="E108" s="130" t="s">
        <v>58</v>
      </c>
      <c r="F108" s="113"/>
      <c r="G108" s="130" t="s">
        <v>59</v>
      </c>
      <c r="H108" s="113"/>
      <c r="I108" s="130" t="s">
        <v>60</v>
      </c>
      <c r="J108" s="113"/>
      <c r="L108" s="17"/>
      <c r="M108" s="17"/>
    </row>
    <row r="109" spans="1:19" ht="16.5" customHeight="1" x14ac:dyDescent="0.25">
      <c r="A109" s="54" t="s">
        <v>61</v>
      </c>
      <c r="B109" s="12">
        <f>M109/100</f>
        <v>0.305504</v>
      </c>
      <c r="C109" s="54" t="s">
        <v>36</v>
      </c>
      <c r="D109" s="71">
        <f>[1]!s_fa_current(A2,B2)</f>
        <v>2.1715</v>
      </c>
      <c r="E109" s="54" t="s">
        <v>41</v>
      </c>
      <c r="F109" s="72">
        <f>[1]!s_fa_salescashintoor(A2,B2)/100</f>
        <v>0.9375</v>
      </c>
      <c r="G109" s="54" t="s">
        <v>42</v>
      </c>
      <c r="H109" s="12">
        <f>S109/100</f>
        <v>0.20866700000000002</v>
      </c>
      <c r="I109" s="54"/>
      <c r="J109" s="16"/>
      <c r="K109" s="25"/>
      <c r="L109" s="34" t="s">
        <v>61</v>
      </c>
      <c r="M109" s="73">
        <f>[1]!s_fa_debttoassets(A2,B2)</f>
        <v>30.5504</v>
      </c>
      <c r="N109" s="54" t="s">
        <v>36</v>
      </c>
      <c r="O109" s="35"/>
      <c r="P109" s="54" t="s">
        <v>41</v>
      </c>
      <c r="Q109" s="35"/>
      <c r="R109" s="54" t="s">
        <v>42</v>
      </c>
      <c r="S109" s="74">
        <f>[1]!s_fa_grossprofitmargin(A2,B2)</f>
        <v>20.866700000000002</v>
      </c>
    </row>
    <row r="110" spans="1:19" ht="15.75" customHeight="1" x14ac:dyDescent="0.25">
      <c r="A110" s="54" t="s">
        <v>62</v>
      </c>
      <c r="B110" s="12">
        <f>M110/100</f>
        <v>0.52071400000000001</v>
      </c>
      <c r="C110" s="54" t="s">
        <v>63</v>
      </c>
      <c r="D110" s="72">
        <f>[1]!s_fa_quick(A2,B2)</f>
        <v>1.83</v>
      </c>
      <c r="E110" s="54" t="s">
        <v>64</v>
      </c>
      <c r="F110" s="71">
        <f>[1]!s_fa_arturn(A2,B2)</f>
        <v>4.258</v>
      </c>
      <c r="G110" s="54" t="s">
        <v>65</v>
      </c>
      <c r="H110" s="12">
        <f>S110/100</f>
        <v>0.117174</v>
      </c>
      <c r="I110" s="54"/>
      <c r="J110" s="16"/>
      <c r="L110" s="54" t="s">
        <v>62</v>
      </c>
      <c r="M110" s="73">
        <f>[1]!s_fa_catoassets(A2,B2)</f>
        <v>52.071399999999997</v>
      </c>
      <c r="N110" s="54" t="s">
        <v>63</v>
      </c>
      <c r="O110" s="35"/>
      <c r="P110" s="54" t="s">
        <v>64</v>
      </c>
      <c r="Q110" s="72"/>
      <c r="R110" s="54" t="s">
        <v>65</v>
      </c>
      <c r="S110" s="74">
        <f>[1]!s_fa_optogr(A2,B2)</f>
        <v>11.7174</v>
      </c>
    </row>
    <row r="111" spans="1:19" ht="15" customHeight="1" x14ac:dyDescent="0.25">
      <c r="A111" s="54" t="s">
        <v>66</v>
      </c>
      <c r="B111" s="12">
        <f>M111/100</f>
        <v>0.78492000000000006</v>
      </c>
      <c r="C111" s="54" t="s">
        <v>39</v>
      </c>
      <c r="D111" s="72">
        <f>[1]!s_fa_ebitdatodebt(A2,B2)</f>
        <v>0.2384</v>
      </c>
      <c r="E111" s="54" t="s">
        <v>67</v>
      </c>
      <c r="F111" s="71">
        <f>[1]!s_fa_invturn(A2,B2)</f>
        <v>4.1653000000000002</v>
      </c>
      <c r="G111" s="54" t="s">
        <v>45</v>
      </c>
      <c r="H111" s="12">
        <f>S111/100</f>
        <v>5.4211999999999996E-2</v>
      </c>
      <c r="I111" s="54"/>
      <c r="J111" s="16"/>
      <c r="L111" s="54" t="s">
        <v>66</v>
      </c>
      <c r="M111" s="73">
        <f>[1]!s_fa_currentdebttodebt(A2,B2)</f>
        <v>78.492000000000004</v>
      </c>
      <c r="N111" s="54" t="s">
        <v>39</v>
      </c>
      <c r="O111" s="35"/>
      <c r="P111" s="54" t="s">
        <v>67</v>
      </c>
      <c r="Q111" s="35"/>
      <c r="R111" s="54" t="s">
        <v>45</v>
      </c>
      <c r="S111" s="74">
        <f>[1]!s_fa_roe(A2,B2)</f>
        <v>5.4211999999999998</v>
      </c>
    </row>
    <row r="112" spans="1:19" ht="14.25" customHeight="1" x14ac:dyDescent="0.25">
      <c r="A112" s="54" t="s">
        <v>38</v>
      </c>
      <c r="B112" s="75">
        <f>(M116+M117+M118+M119+M120+M121)/M123</f>
        <v>0.22660855506167651</v>
      </c>
      <c r="C112" s="54" t="s">
        <v>68</v>
      </c>
      <c r="D112" s="72">
        <f>[1]!s_fa_ebittointerest(A2,B2)</f>
        <v>9.0730000000000004</v>
      </c>
      <c r="E112" s="54" t="s">
        <v>69</v>
      </c>
      <c r="F112" s="71">
        <f>[1]!s_fa_caturn(A2,B2)</f>
        <v>0.67720000000000002</v>
      </c>
      <c r="G112" s="54" t="s">
        <v>70</v>
      </c>
      <c r="H112" s="12">
        <f>S112/100</f>
        <v>4.6700999999999999E-2</v>
      </c>
      <c r="I112" s="54"/>
      <c r="J112" s="16"/>
      <c r="L112" s="54" t="s">
        <v>38</v>
      </c>
      <c r="M112" s="76"/>
      <c r="N112" s="54" t="s">
        <v>68</v>
      </c>
      <c r="O112" s="35"/>
      <c r="P112" s="54" t="s">
        <v>69</v>
      </c>
      <c r="Q112" s="35"/>
      <c r="R112" s="54" t="s">
        <v>70</v>
      </c>
      <c r="S112" s="74">
        <f>[1]!s_fa_roa2(A2,B2)</f>
        <v>4.6700999999999997</v>
      </c>
    </row>
    <row r="113" spans="1:21" x14ac:dyDescent="0.25">
      <c r="A113" s="30"/>
      <c r="B113" s="31"/>
      <c r="C113" s="30"/>
      <c r="D113" s="32"/>
      <c r="E113" s="30" t="s">
        <v>71</v>
      </c>
      <c r="F113" s="77">
        <f>[1]!s_fa_dupont_faturnover(A2,B2)</f>
        <v>0.37080000000000002</v>
      </c>
      <c r="G113" s="30"/>
      <c r="H113" s="31"/>
      <c r="I113" s="30"/>
      <c r="J113" s="31"/>
      <c r="L113" s="30"/>
      <c r="M113" s="36"/>
      <c r="N113" s="30"/>
      <c r="O113" s="32"/>
      <c r="P113" s="30" t="s">
        <v>71</v>
      </c>
      <c r="Q113" s="37"/>
      <c r="R113" s="30"/>
      <c r="S113" s="31"/>
    </row>
    <row r="114" spans="1:21" ht="13.5" customHeight="1" x14ac:dyDescent="0.25">
      <c r="A114" s="122" t="s">
        <v>72</v>
      </c>
      <c r="B114" s="123"/>
      <c r="C114" s="123"/>
      <c r="D114" s="113"/>
      <c r="E114" s="113"/>
      <c r="F114" s="113"/>
      <c r="G114" s="113"/>
      <c r="H114" s="113"/>
      <c r="I114" s="113"/>
      <c r="J114" s="113"/>
      <c r="L114" s="17"/>
      <c r="M114" s="17"/>
    </row>
    <row r="115" spans="1:21" ht="13.5" customHeight="1" x14ac:dyDescent="0.25">
      <c r="A115" s="121" t="s">
        <v>73</v>
      </c>
      <c r="B115" s="123"/>
      <c r="C115" s="123"/>
      <c r="D115" s="113"/>
      <c r="E115" s="113"/>
      <c r="F115" s="113"/>
      <c r="G115" s="124">
        <v>2017</v>
      </c>
      <c r="H115" s="113"/>
      <c r="I115" s="113"/>
      <c r="J115" s="113"/>
      <c r="L115" s="17"/>
      <c r="M115" s="17"/>
    </row>
    <row r="116" spans="1:21" x14ac:dyDescent="0.25">
      <c r="A116" s="125" t="s">
        <v>74</v>
      </c>
      <c r="B116" s="123"/>
      <c r="C116" s="125" t="s">
        <v>75</v>
      </c>
      <c r="D116" s="113"/>
      <c r="E116" s="126" t="s">
        <v>76</v>
      </c>
      <c r="F116" s="113"/>
      <c r="G116" s="113"/>
      <c r="H116" s="113"/>
      <c r="I116" s="113"/>
      <c r="J116" s="113"/>
      <c r="L116" s="17" t="s">
        <v>47</v>
      </c>
      <c r="M116" s="70">
        <f>[1]!b_stm07_bs(K107,75,L107,1)</f>
        <v>803000000</v>
      </c>
    </row>
    <row r="117" spans="1:21" ht="14.25" customHeight="1" x14ac:dyDescent="0.25">
      <c r="A117" s="54" t="s">
        <v>77</v>
      </c>
      <c r="B117" s="72">
        <f t="shared" ref="B117:B131" si="1">M127/100000000</f>
        <v>15.548992377899999</v>
      </c>
      <c r="C117" s="54" t="s">
        <v>78</v>
      </c>
      <c r="D117" s="75">
        <f t="shared" ref="D117:D125" si="2">O127/100000000</f>
        <v>24.985471355399998</v>
      </c>
      <c r="E117" s="114" t="s">
        <v>79</v>
      </c>
      <c r="F117" s="113"/>
      <c r="G117" s="113"/>
      <c r="H117" s="119">
        <f t="shared" ref="H117:H131" si="3">S127/100000000</f>
        <v>23.423800006900002</v>
      </c>
      <c r="I117" s="113"/>
      <c r="J117" s="113"/>
      <c r="L117" s="17" t="s">
        <v>48</v>
      </c>
      <c r="M117" s="70">
        <f>[1]!b_stm07_bs(K107,82,L107,1)</f>
        <v>0</v>
      </c>
    </row>
    <row r="118" spans="1:21" ht="14.25" customHeight="1" x14ac:dyDescent="0.25">
      <c r="A118" s="54" t="s">
        <v>80</v>
      </c>
      <c r="B118" s="72">
        <f t="shared" si="1"/>
        <v>7.1745780828000001</v>
      </c>
      <c r="C118" s="54" t="s">
        <v>81</v>
      </c>
      <c r="D118" s="75">
        <f t="shared" si="2"/>
        <v>23.830151891999996</v>
      </c>
      <c r="E118" s="114" t="s">
        <v>82</v>
      </c>
      <c r="F118" s="113"/>
      <c r="G118" s="113"/>
      <c r="H118" s="119">
        <f t="shared" si="3"/>
        <v>1.0886261418000001</v>
      </c>
      <c r="I118" s="113"/>
      <c r="J118" s="113"/>
      <c r="L118" s="17" t="s">
        <v>49</v>
      </c>
      <c r="M118" s="70">
        <f>[1]!b_stm07_bs(K107,88,L107,1)</f>
        <v>60000000</v>
      </c>
    </row>
    <row r="119" spans="1:21" ht="14.25" customHeight="1" x14ac:dyDescent="0.25">
      <c r="A119" s="54" t="s">
        <v>83</v>
      </c>
      <c r="B119" s="72">
        <f t="shared" si="1"/>
        <v>8.1430454100000008E-2</v>
      </c>
      <c r="C119" s="54" t="s">
        <v>84</v>
      </c>
      <c r="D119" s="75">
        <f t="shared" si="2"/>
        <v>19.771832181500002</v>
      </c>
      <c r="E119" s="114" t="s">
        <v>85</v>
      </c>
      <c r="F119" s="113"/>
      <c r="G119" s="113"/>
      <c r="H119" s="118">
        <f t="shared" si="3"/>
        <v>25.401587300999999</v>
      </c>
      <c r="I119" s="113"/>
      <c r="J119" s="113"/>
      <c r="L119" s="17" t="s">
        <v>50</v>
      </c>
      <c r="M119" s="70">
        <f>[1]!b_stm07_bs(K107,147,L107,1)</f>
        <v>0</v>
      </c>
    </row>
    <row r="120" spans="1:21" ht="14.25" customHeight="1" x14ac:dyDescent="0.25">
      <c r="A120" s="54" t="s">
        <v>86</v>
      </c>
      <c r="B120" s="72">
        <f t="shared" si="1"/>
        <v>16.116859224300001</v>
      </c>
      <c r="C120" s="54" t="s">
        <v>87</v>
      </c>
      <c r="D120" s="75">
        <f t="shared" si="2"/>
        <v>1.0139921609</v>
      </c>
      <c r="E120" s="114" t="s">
        <v>88</v>
      </c>
      <c r="F120" s="113"/>
      <c r="G120" s="113"/>
      <c r="H120" s="119">
        <f t="shared" si="3"/>
        <v>18.968750723900001</v>
      </c>
      <c r="I120" s="113"/>
      <c r="J120" s="113"/>
      <c r="L120" s="17" t="s">
        <v>51</v>
      </c>
      <c r="M120" s="70">
        <f>[1]!b_stm07_bs(K107,94,L107,1)</f>
        <v>204238861.30000001</v>
      </c>
    </row>
    <row r="121" spans="1:21" ht="14.25" customHeight="1" x14ac:dyDescent="0.25">
      <c r="A121" s="54" t="s">
        <v>89</v>
      </c>
      <c r="B121" s="72">
        <f t="shared" si="1"/>
        <v>1.2404654914</v>
      </c>
      <c r="C121" s="54" t="s">
        <v>90</v>
      </c>
      <c r="D121" s="75">
        <f t="shared" si="2"/>
        <v>1.8834738605000001</v>
      </c>
      <c r="E121" s="114" t="s">
        <v>91</v>
      </c>
      <c r="F121" s="113"/>
      <c r="G121" s="113"/>
      <c r="H121" s="119">
        <f t="shared" si="3"/>
        <v>0.75911949810000001</v>
      </c>
      <c r="I121" s="113"/>
      <c r="J121" s="113"/>
      <c r="L121" s="17" t="s">
        <v>52</v>
      </c>
      <c r="M121" s="70">
        <f>[1]!b_stm07_bs(K107,95,L107,1)</f>
        <v>0</v>
      </c>
    </row>
    <row r="122" spans="1:21" ht="14.25" customHeight="1" x14ac:dyDescent="0.25">
      <c r="A122" s="54" t="s">
        <v>92</v>
      </c>
      <c r="B122" s="72">
        <f t="shared" si="1"/>
        <v>2.3201833178999998</v>
      </c>
      <c r="C122" s="54" t="s">
        <v>93</v>
      </c>
      <c r="D122" s="75">
        <f t="shared" si="2"/>
        <v>0.48512864229999997</v>
      </c>
      <c r="E122" s="114" t="s">
        <v>94</v>
      </c>
      <c r="F122" s="113"/>
      <c r="G122" s="113"/>
      <c r="H122" s="118">
        <f t="shared" si="3"/>
        <v>25.973629251599998</v>
      </c>
      <c r="I122" s="113"/>
      <c r="J122" s="113"/>
      <c r="L122" s="17"/>
      <c r="M122" s="17"/>
    </row>
    <row r="123" spans="1:21" ht="14.25" customHeight="1" x14ac:dyDescent="0.25">
      <c r="A123" s="54" t="s">
        <v>95</v>
      </c>
      <c r="B123" s="78">
        <f t="shared" si="1"/>
        <v>67.813383780400002</v>
      </c>
      <c r="C123" s="54" t="s">
        <v>96</v>
      </c>
      <c r="D123" s="75">
        <f t="shared" si="2"/>
        <v>2.9276404533</v>
      </c>
      <c r="E123" s="114" t="s">
        <v>97</v>
      </c>
      <c r="F123" s="113"/>
      <c r="G123" s="113"/>
      <c r="H123" s="118">
        <f t="shared" si="3"/>
        <v>-0.57204195060000007</v>
      </c>
      <c r="I123" s="113"/>
      <c r="J123" s="113"/>
      <c r="L123" s="17" t="s">
        <v>53</v>
      </c>
      <c r="M123" s="70">
        <f>[1]!b_stm07_bs(K107,141,L107,1)</f>
        <v>4709614167.0799999</v>
      </c>
    </row>
    <row r="124" spans="1:21" ht="14.25" customHeight="1" x14ac:dyDescent="0.25">
      <c r="A124" s="54" t="s">
        <v>98</v>
      </c>
      <c r="B124" s="72">
        <f t="shared" si="1"/>
        <v>8.0299999999999994</v>
      </c>
      <c r="C124" s="54" t="s">
        <v>99</v>
      </c>
      <c r="D124" s="75">
        <f t="shared" si="2"/>
        <v>2.8113611099</v>
      </c>
      <c r="E124" s="114" t="s">
        <v>100</v>
      </c>
      <c r="F124" s="113"/>
      <c r="G124" s="113"/>
      <c r="H124" s="118">
        <f t="shared" si="3"/>
        <v>-6.7028151069000002</v>
      </c>
      <c r="I124" s="113"/>
      <c r="J124" s="113"/>
      <c r="L124" s="17"/>
      <c r="M124" s="17"/>
    </row>
    <row r="125" spans="1:21" ht="27" customHeight="1" x14ac:dyDescent="0.25">
      <c r="A125" s="54" t="s">
        <v>101</v>
      </c>
      <c r="B125" s="72">
        <f t="shared" si="1"/>
        <v>0.6</v>
      </c>
      <c r="C125" s="54" t="s">
        <v>43</v>
      </c>
      <c r="D125" s="75">
        <f t="shared" si="2"/>
        <v>2.3316157633000003</v>
      </c>
      <c r="E125" s="114" t="s">
        <v>102</v>
      </c>
      <c r="F125" s="113"/>
      <c r="G125" s="113"/>
      <c r="H125" s="119">
        <f t="shared" si="3"/>
        <v>1.5215364665</v>
      </c>
      <c r="I125" s="113"/>
      <c r="J125" s="113"/>
      <c r="L125" s="17"/>
      <c r="M125" s="17"/>
    </row>
    <row r="126" spans="1:21" ht="16.5" customHeight="1" x14ac:dyDescent="0.25">
      <c r="A126" s="54" t="s">
        <v>103</v>
      </c>
      <c r="B126" s="72">
        <f t="shared" si="1"/>
        <v>0</v>
      </c>
      <c r="C126" s="54"/>
      <c r="D126" s="79"/>
      <c r="E126" s="114" t="s">
        <v>104</v>
      </c>
      <c r="F126" s="113"/>
      <c r="G126" s="113"/>
      <c r="H126" s="119">
        <f t="shared" si="3"/>
        <v>10.050000000000001</v>
      </c>
      <c r="I126" s="113"/>
      <c r="J126" s="113"/>
      <c r="L126" s="120" t="s">
        <v>74</v>
      </c>
      <c r="M126" s="113"/>
      <c r="N126" s="120" t="s">
        <v>75</v>
      </c>
      <c r="O126" s="113"/>
      <c r="P126" s="121" t="s">
        <v>76</v>
      </c>
      <c r="Q126" s="113"/>
      <c r="R126" s="113"/>
      <c r="S126" s="116"/>
      <c r="T126" s="116"/>
      <c r="U126" s="116"/>
    </row>
    <row r="127" spans="1:21" ht="14.25" customHeight="1" x14ac:dyDescent="0.25">
      <c r="A127" s="54" t="s">
        <v>105</v>
      </c>
      <c r="B127" s="72">
        <f t="shared" si="1"/>
        <v>2.042388613</v>
      </c>
      <c r="C127" s="54"/>
      <c r="D127" s="79"/>
      <c r="E127" s="114" t="s">
        <v>106</v>
      </c>
      <c r="F127" s="113"/>
      <c r="G127" s="113"/>
      <c r="H127" s="119">
        <f t="shared" si="3"/>
        <v>0</v>
      </c>
      <c r="I127" s="113"/>
      <c r="J127" s="113"/>
      <c r="L127" s="54" t="s">
        <v>77</v>
      </c>
      <c r="M127" s="74">
        <f>[1]!b_stm07_bs(K107,9,L107,1)</f>
        <v>1554899237.79</v>
      </c>
      <c r="N127" s="54" t="s">
        <v>78</v>
      </c>
      <c r="O127" s="74">
        <f>[1]!b_stm07_is(K107,83,L107,1)</f>
        <v>2498547135.54</v>
      </c>
      <c r="P127" s="114" t="s">
        <v>79</v>
      </c>
      <c r="Q127" s="113"/>
      <c r="R127" s="113"/>
      <c r="S127" s="115">
        <f>[1]!b_stm07_cs(K107,9,L107,1)</f>
        <v>2342380000.6900001</v>
      </c>
      <c r="T127" s="116"/>
      <c r="U127" s="116"/>
    </row>
    <row r="128" spans="1:21" ht="14.25" customHeight="1" x14ac:dyDescent="0.25">
      <c r="A128" s="54" t="s">
        <v>107</v>
      </c>
      <c r="B128" s="72">
        <f t="shared" si="1"/>
        <v>0</v>
      </c>
      <c r="C128" s="54"/>
      <c r="D128" s="79"/>
      <c r="E128" s="114" t="s">
        <v>108</v>
      </c>
      <c r="F128" s="113"/>
      <c r="G128" s="113"/>
      <c r="H128" s="118">
        <f t="shared" si="3"/>
        <v>11.571536466500001</v>
      </c>
      <c r="I128" s="113"/>
      <c r="J128" s="113"/>
      <c r="L128" s="54" t="s">
        <v>80</v>
      </c>
      <c r="M128" s="74">
        <f>[1]!b_stm07_bs(K107,12,L107,1)</f>
        <v>717457808.27999997</v>
      </c>
      <c r="N128" s="54" t="s">
        <v>81</v>
      </c>
      <c r="O128" s="74">
        <f>[1]!b_stm07_is(K107,84,L107,1)</f>
        <v>2383015189.1999998</v>
      </c>
      <c r="P128" s="114" t="s">
        <v>82</v>
      </c>
      <c r="Q128" s="113"/>
      <c r="R128" s="113"/>
      <c r="S128" s="115">
        <f>[1]!b_stm07_cs(K107,11,L107,1)</f>
        <v>108862614.18000001</v>
      </c>
      <c r="T128" s="116"/>
      <c r="U128" s="116"/>
    </row>
    <row r="129" spans="1:21" ht="14.25" customHeight="1" x14ac:dyDescent="0.25">
      <c r="A129" s="54" t="s">
        <v>109</v>
      </c>
      <c r="B129" s="78">
        <f t="shared" si="1"/>
        <v>20.717242109600001</v>
      </c>
      <c r="C129" s="14"/>
      <c r="D129" s="13"/>
      <c r="E129" s="114" t="s">
        <v>110</v>
      </c>
      <c r="F129" s="113"/>
      <c r="G129" s="113"/>
      <c r="H129" s="119">
        <f t="shared" si="3"/>
        <v>10.7587464892</v>
      </c>
      <c r="I129" s="113"/>
      <c r="J129" s="113"/>
      <c r="L129" s="54" t="s">
        <v>83</v>
      </c>
      <c r="M129" s="74">
        <f>[1]!b_stm07_bs(K107,13,L107,1)</f>
        <v>8143045.4100000001</v>
      </c>
      <c r="N129" s="54" t="s">
        <v>84</v>
      </c>
      <c r="O129" s="74">
        <f>[1]!b_stm07_is(K107,10,L107,1)</f>
        <v>1977183218.1500001</v>
      </c>
      <c r="P129" s="114" t="s">
        <v>85</v>
      </c>
      <c r="Q129" s="113"/>
      <c r="R129" s="113"/>
      <c r="S129" s="117">
        <f>[1]!b_stm07_cs(K107,25,L107,1)</f>
        <v>2540158730.0999999</v>
      </c>
      <c r="T129" s="116"/>
      <c r="U129" s="116"/>
    </row>
    <row r="130" spans="1:21" ht="14.25" customHeight="1" x14ac:dyDescent="0.25">
      <c r="A130" s="54" t="s">
        <v>111</v>
      </c>
      <c r="B130" s="78">
        <f t="shared" si="1"/>
        <v>47.096141670800002</v>
      </c>
      <c r="C130" s="14"/>
      <c r="D130" s="13"/>
      <c r="E130" s="114" t="s">
        <v>112</v>
      </c>
      <c r="F130" s="113"/>
      <c r="G130" s="113"/>
      <c r="H130" s="119">
        <f t="shared" si="3"/>
        <v>11.903881116300001</v>
      </c>
      <c r="I130" s="113"/>
      <c r="J130" s="113"/>
      <c r="L130" s="54" t="s">
        <v>86</v>
      </c>
      <c r="M130" s="74">
        <f>[1]!b_stm07_bs(K107,31,L107,1)</f>
        <v>1611685922.4300001</v>
      </c>
      <c r="N130" s="54" t="s">
        <v>87</v>
      </c>
      <c r="O130" s="74">
        <f>[1]!b_stm07_is(K107,12,L107,1)</f>
        <v>101399216.09</v>
      </c>
      <c r="P130" s="114" t="s">
        <v>88</v>
      </c>
      <c r="Q130" s="113"/>
      <c r="R130" s="113"/>
      <c r="S130" s="115">
        <f>[1]!b_stm07_cs(K107,26,L107,1)</f>
        <v>1896875072.3900001</v>
      </c>
      <c r="T130" s="116"/>
      <c r="U130" s="116"/>
    </row>
    <row r="131" spans="1:21" ht="14.25" customHeight="1" x14ac:dyDescent="0.25">
      <c r="A131" s="15" t="s">
        <v>113</v>
      </c>
      <c r="B131" s="78">
        <f t="shared" si="1"/>
        <v>67.813383780400002</v>
      </c>
      <c r="C131" s="14"/>
      <c r="D131" s="13"/>
      <c r="E131" s="114" t="s">
        <v>114</v>
      </c>
      <c r="F131" s="113"/>
      <c r="G131" s="113"/>
      <c r="H131" s="118">
        <f t="shared" si="3"/>
        <v>-0.3323446498</v>
      </c>
      <c r="I131" s="113"/>
      <c r="J131" s="113"/>
      <c r="L131" s="54" t="s">
        <v>89</v>
      </c>
      <c r="M131" s="74">
        <f>[1]!b_stm07_bs(K107,33,L107,1)</f>
        <v>124046549.14</v>
      </c>
      <c r="N131" s="54" t="s">
        <v>90</v>
      </c>
      <c r="O131" s="74">
        <f>[1]!b_stm07_is(K107,13,L107,1)</f>
        <v>188347386.05000001</v>
      </c>
      <c r="P131" s="114" t="s">
        <v>91</v>
      </c>
      <c r="Q131" s="113"/>
      <c r="R131" s="113"/>
      <c r="S131" s="115">
        <f>[1]!b_stm07_cs(K107,29,L107,1)</f>
        <v>75911949.810000002</v>
      </c>
      <c r="T131" s="116"/>
      <c r="U131" s="116"/>
    </row>
    <row r="132" spans="1:21" x14ac:dyDescent="0.25">
      <c r="L132" s="54" t="s">
        <v>92</v>
      </c>
      <c r="M132" s="74">
        <f>[1]!b_stm07_bs(K107,37,L107,1)</f>
        <v>232018331.78999999</v>
      </c>
      <c r="N132" s="54" t="s">
        <v>93</v>
      </c>
      <c r="O132" s="74">
        <f>[1]!b_stm07_is(K107,14,L107,1)</f>
        <v>48512864.229999997</v>
      </c>
      <c r="P132" s="114" t="s">
        <v>94</v>
      </c>
      <c r="Q132" s="113"/>
      <c r="R132" s="113"/>
      <c r="S132" s="117">
        <f>[1]!b_stm07_cs(K107,37,L107,1)</f>
        <v>2597362925.1599998</v>
      </c>
      <c r="T132" s="116"/>
      <c r="U132" s="116"/>
    </row>
    <row r="133" spans="1:21" x14ac:dyDescent="0.25">
      <c r="L133" s="54" t="s">
        <v>95</v>
      </c>
      <c r="M133" s="80">
        <f>[1]!b_stm07_bs(K107,74,L107,1)</f>
        <v>6781338378.04</v>
      </c>
      <c r="N133" s="54" t="s">
        <v>96</v>
      </c>
      <c r="O133" s="74">
        <f>[1]!b_stm07_is(K107,48,L107,1)</f>
        <v>292764045.32999998</v>
      </c>
      <c r="P133" s="114" t="s">
        <v>97</v>
      </c>
      <c r="Q133" s="113"/>
      <c r="R133" s="113"/>
      <c r="S133" s="117">
        <f>[1]!b_stm07_cs(K107,39,L107,1)</f>
        <v>-57204195.060000002</v>
      </c>
      <c r="T133" s="116"/>
      <c r="U133" s="116"/>
    </row>
    <row r="134" spans="1:21" x14ac:dyDescent="0.25">
      <c r="L134" s="54" t="s">
        <v>98</v>
      </c>
      <c r="M134" s="74">
        <f>[1]!b_stm07_bs(K107,75,L107,1)</f>
        <v>803000000</v>
      </c>
      <c r="N134" s="54" t="s">
        <v>99</v>
      </c>
      <c r="O134" s="74">
        <f>[1]!b_stm07_is(K107,55,L107,1)</f>
        <v>281136110.99000001</v>
      </c>
      <c r="P134" s="114" t="s">
        <v>100</v>
      </c>
      <c r="Q134" s="113"/>
      <c r="R134" s="113"/>
      <c r="S134" s="117">
        <f>[1]!b_stm07_cs(K107,59,L107,1)</f>
        <v>-670281510.69000006</v>
      </c>
      <c r="T134" s="116"/>
      <c r="U134" s="116"/>
    </row>
    <row r="135" spans="1:21" ht="32.4" customHeight="1" x14ac:dyDescent="0.25">
      <c r="L135" s="54" t="s">
        <v>101</v>
      </c>
      <c r="M135" s="74">
        <f>[1]!b_stm07_bs(K107,88,L107,1)</f>
        <v>60000000</v>
      </c>
      <c r="N135" s="54" t="s">
        <v>43</v>
      </c>
      <c r="O135" s="74">
        <f>[1]!b_stm07_is(K107,60,L107,1)</f>
        <v>233161576.33000001</v>
      </c>
      <c r="P135" s="114" t="s">
        <v>102</v>
      </c>
      <c r="Q135" s="113"/>
      <c r="R135" s="113"/>
      <c r="S135" s="115">
        <f>[1]!b_stm07_cs(K107,60,L107,1)</f>
        <v>152153646.65000001</v>
      </c>
      <c r="T135" s="116"/>
      <c r="U135" s="116"/>
    </row>
    <row r="136" spans="1:21" ht="21.6" customHeight="1" x14ac:dyDescent="0.25">
      <c r="L136" s="54" t="s">
        <v>103</v>
      </c>
      <c r="M136" s="74">
        <f>[1]!b_stm07_bs(K107,147,L107,1)</f>
        <v>0</v>
      </c>
      <c r="N136" s="54"/>
      <c r="O136" s="79"/>
      <c r="P136" s="114" t="s">
        <v>104</v>
      </c>
      <c r="Q136" s="113"/>
      <c r="R136" s="113"/>
      <c r="S136" s="115">
        <f>[1]!b_stm07_cs(K107,61,L107,1)</f>
        <v>1005000000</v>
      </c>
      <c r="T136" s="116"/>
      <c r="U136" s="116"/>
    </row>
    <row r="137" spans="1:21" x14ac:dyDescent="0.25">
      <c r="L137" s="54" t="s">
        <v>105</v>
      </c>
      <c r="M137" s="74">
        <f>[1]!b_stm07_bs(K107,94,L107,1)</f>
        <v>204238861.30000001</v>
      </c>
      <c r="N137" s="54"/>
      <c r="O137" s="79"/>
      <c r="P137" s="114" t="s">
        <v>106</v>
      </c>
      <c r="Q137" s="113"/>
      <c r="R137" s="113"/>
      <c r="S137" s="115">
        <f>[1]!b_stm07_cs(K107,63,L107,1)</f>
        <v>0</v>
      </c>
      <c r="T137" s="116"/>
      <c r="U137" s="116"/>
    </row>
    <row r="138" spans="1:21" x14ac:dyDescent="0.25">
      <c r="L138" s="54" t="s">
        <v>107</v>
      </c>
      <c r="M138" s="74">
        <f>[1]!b_stm07_bs(K107,95,L107,1)</f>
        <v>0</v>
      </c>
      <c r="N138" s="54"/>
      <c r="O138" s="79"/>
      <c r="P138" s="114" t="s">
        <v>108</v>
      </c>
      <c r="Q138" s="113"/>
      <c r="R138" s="113"/>
      <c r="S138" s="117">
        <f>[1]!b_stm07_cs(K107,68,L107,1)</f>
        <v>1157153646.6500001</v>
      </c>
      <c r="T138" s="116"/>
      <c r="U138" s="116"/>
    </row>
    <row r="139" spans="1:21" x14ac:dyDescent="0.25">
      <c r="L139" s="54" t="s">
        <v>109</v>
      </c>
      <c r="M139" s="80">
        <f>[1]!b_stm07_bs(K107,128,L107,1)</f>
        <v>2071724210.96</v>
      </c>
      <c r="N139" s="14"/>
      <c r="O139" s="13"/>
      <c r="P139" s="114" t="s">
        <v>110</v>
      </c>
      <c r="Q139" s="113"/>
      <c r="R139" s="113"/>
      <c r="S139" s="115">
        <f>[1]!b_stm07_cs(K107,69,L107,1)</f>
        <v>1075874648.9200001</v>
      </c>
      <c r="T139" s="116"/>
      <c r="U139" s="116"/>
    </row>
    <row r="140" spans="1:21" ht="21.6" customHeight="1" x14ac:dyDescent="0.25">
      <c r="L140" s="54" t="s">
        <v>111</v>
      </c>
      <c r="M140" s="80">
        <f>[1]!b_stm07_bs(K107,141,L107,1)</f>
        <v>4709614167.0799999</v>
      </c>
      <c r="N140" s="14"/>
      <c r="O140" s="13"/>
      <c r="P140" s="114" t="s">
        <v>112</v>
      </c>
      <c r="Q140" s="113"/>
      <c r="R140" s="113"/>
      <c r="S140" s="115">
        <f>[1]!b_stm07_cs(K107,75,L107,1)</f>
        <v>1190388111.6300001</v>
      </c>
      <c r="T140" s="116"/>
      <c r="U140" s="116"/>
    </row>
    <row r="141" spans="1:21" ht="21.6" customHeight="1" x14ac:dyDescent="0.25">
      <c r="L141" s="15" t="s">
        <v>113</v>
      </c>
      <c r="M141" s="80">
        <f>[1]!b_stm07_bs(K107,145,L107,1)</f>
        <v>6781338378.04</v>
      </c>
      <c r="N141" s="14"/>
      <c r="O141" s="13"/>
      <c r="P141" s="114" t="s">
        <v>114</v>
      </c>
      <c r="Q141" s="113"/>
      <c r="R141" s="113"/>
      <c r="S141" s="117">
        <f>[1]!b_stm07_cs(K107,77,L107,1)</f>
        <v>-33234464.98</v>
      </c>
      <c r="T141" s="116"/>
      <c r="U141" s="116"/>
    </row>
  </sheetData>
  <mergeCells count="89">
    <mergeCell ref="A3:G3"/>
    <mergeCell ref="B4:C4"/>
    <mergeCell ref="E4:G4"/>
    <mergeCell ref="B5:C5"/>
    <mergeCell ref="E5:G5"/>
    <mergeCell ref="B6:G6"/>
    <mergeCell ref="B7:E7"/>
    <mergeCell ref="B8:E8"/>
    <mergeCell ref="B9:E9"/>
    <mergeCell ref="B10:E10"/>
    <mergeCell ref="B11:E11"/>
    <mergeCell ref="A106:J106"/>
    <mergeCell ref="A107:F107"/>
    <mergeCell ref="G107:J107"/>
    <mergeCell ref="A108:B108"/>
    <mergeCell ref="C108:D108"/>
    <mergeCell ref="E108:F108"/>
    <mergeCell ref="G108:H108"/>
    <mergeCell ref="I108:J108"/>
    <mergeCell ref="A114:J114"/>
    <mergeCell ref="A115:F115"/>
    <mergeCell ref="G115:J115"/>
    <mergeCell ref="A116:B116"/>
    <mergeCell ref="C116:D116"/>
    <mergeCell ref="E116:J116"/>
    <mergeCell ref="E117:G117"/>
    <mergeCell ref="H117:J117"/>
    <mergeCell ref="E118:G118"/>
    <mergeCell ref="H118:J118"/>
    <mergeCell ref="E119:G119"/>
    <mergeCell ref="H119:J119"/>
    <mergeCell ref="E120:G120"/>
    <mergeCell ref="H120:J120"/>
    <mergeCell ref="E121:G121"/>
    <mergeCell ref="H121:J121"/>
    <mergeCell ref="E122:G122"/>
    <mergeCell ref="H122:J122"/>
    <mergeCell ref="E123:G123"/>
    <mergeCell ref="H123:J123"/>
    <mergeCell ref="E124:G124"/>
    <mergeCell ref="H124:J124"/>
    <mergeCell ref="E125:G125"/>
    <mergeCell ref="H125:J125"/>
    <mergeCell ref="E126:G126"/>
    <mergeCell ref="H126:J126"/>
    <mergeCell ref="L126:M126"/>
    <mergeCell ref="N126:O126"/>
    <mergeCell ref="P126:U126"/>
    <mergeCell ref="E127:G127"/>
    <mergeCell ref="H127:J127"/>
    <mergeCell ref="P127:R127"/>
    <mergeCell ref="S127:U127"/>
    <mergeCell ref="E128:G128"/>
    <mergeCell ref="H128:J128"/>
    <mergeCell ref="P128:R128"/>
    <mergeCell ref="S128:U128"/>
    <mergeCell ref="E129:G129"/>
    <mergeCell ref="H129:J129"/>
    <mergeCell ref="P129:R129"/>
    <mergeCell ref="S129:U129"/>
    <mergeCell ref="E130:G130"/>
    <mergeCell ref="H130:J130"/>
    <mergeCell ref="P130:R130"/>
    <mergeCell ref="S130:U130"/>
    <mergeCell ref="E131:G131"/>
    <mergeCell ref="H131:J131"/>
    <mergeCell ref="P131:R131"/>
    <mergeCell ref="S131:U131"/>
    <mergeCell ref="P132:R132"/>
    <mergeCell ref="S132:U132"/>
    <mergeCell ref="P141:R141"/>
    <mergeCell ref="S141:U141"/>
    <mergeCell ref="P136:R136"/>
    <mergeCell ref="S136:U136"/>
    <mergeCell ref="P137:R137"/>
    <mergeCell ref="S137:U137"/>
    <mergeCell ref="P138:R138"/>
    <mergeCell ref="S138:U138"/>
    <mergeCell ref="K15:K29"/>
    <mergeCell ref="P139:R139"/>
    <mergeCell ref="S139:U139"/>
    <mergeCell ref="P140:R140"/>
    <mergeCell ref="S140:U140"/>
    <mergeCell ref="P133:R133"/>
    <mergeCell ref="S133:U133"/>
    <mergeCell ref="P134:R134"/>
    <mergeCell ref="S134:U134"/>
    <mergeCell ref="P135:R135"/>
    <mergeCell ref="S135:U13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activeCell="C22" sqref="C22"/>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8" t="s">
        <v>1</v>
      </c>
      <c r="B1" s="123"/>
      <c r="C1" s="123"/>
      <c r="D1" s="123"/>
      <c r="E1" s="123"/>
      <c r="F1" s="123"/>
      <c r="G1" s="123"/>
    </row>
    <row r="2" spans="1:12" ht="13.5" customHeight="1" x14ac:dyDescent="0.25">
      <c r="A2" s="57" t="s">
        <v>2</v>
      </c>
      <c r="B2" s="133" t="s">
        <v>179</v>
      </c>
      <c r="C2" s="128"/>
      <c r="D2" s="57" t="s">
        <v>3</v>
      </c>
      <c r="E2" s="133" t="s">
        <v>180</v>
      </c>
      <c r="F2" s="128"/>
      <c r="G2" s="128"/>
    </row>
    <row r="3" spans="1:12" ht="14.25" customHeight="1" x14ac:dyDescent="0.25">
      <c r="A3" s="57" t="s">
        <v>4</v>
      </c>
      <c r="B3" s="133" t="s">
        <v>181</v>
      </c>
      <c r="C3" s="128"/>
      <c r="D3" s="57" t="s">
        <v>5</v>
      </c>
      <c r="E3" s="133" t="s">
        <v>182</v>
      </c>
      <c r="F3" s="128"/>
      <c r="G3" s="128"/>
    </row>
    <row r="4" spans="1:12" ht="113.25" customHeight="1" x14ac:dyDescent="0.25">
      <c r="A4" s="57" t="s">
        <v>6</v>
      </c>
      <c r="B4" s="131" t="s">
        <v>183</v>
      </c>
      <c r="C4" s="128"/>
      <c r="D4" s="128"/>
      <c r="E4" s="128"/>
      <c r="F4" s="128"/>
      <c r="G4" s="128"/>
    </row>
    <row r="5" spans="1:12" ht="14.4" x14ac:dyDescent="0.25">
      <c r="A5" s="81" t="s">
        <v>115</v>
      </c>
      <c r="B5" s="136" t="s">
        <v>184</v>
      </c>
      <c r="C5" s="128"/>
      <c r="D5" s="128"/>
      <c r="E5" s="128"/>
      <c r="F5" s="137">
        <v>0.23040000915527345</v>
      </c>
      <c r="G5" s="128"/>
    </row>
    <row r="6" spans="1:12" ht="11.25" customHeight="1" x14ac:dyDescent="0.25">
      <c r="A6" s="81" t="s">
        <v>116</v>
      </c>
      <c r="B6" s="136" t="s">
        <v>185</v>
      </c>
      <c r="C6" s="128"/>
      <c r="D6" s="128"/>
      <c r="E6" s="128"/>
      <c r="F6" s="137">
        <v>0.21709999084472656</v>
      </c>
      <c r="G6" s="128"/>
    </row>
    <row r="7" spans="1:12" ht="11.25" customHeight="1" x14ac:dyDescent="0.25">
      <c r="A7" s="81" t="s">
        <v>117</v>
      </c>
      <c r="B7" s="136" t="s">
        <v>186</v>
      </c>
      <c r="C7" s="128"/>
      <c r="D7" s="128"/>
      <c r="E7" s="128"/>
      <c r="F7" s="137">
        <v>0.02</v>
      </c>
      <c r="G7" s="128"/>
    </row>
    <row r="8" spans="1:12" ht="11.25" customHeight="1" x14ac:dyDescent="0.25">
      <c r="A8" s="81" t="s">
        <v>118</v>
      </c>
      <c r="B8" s="136" t="s">
        <v>187</v>
      </c>
      <c r="C8" s="128"/>
      <c r="D8" s="128"/>
      <c r="E8" s="128"/>
      <c r="F8" s="137">
        <v>0.02</v>
      </c>
      <c r="G8" s="128"/>
    </row>
    <row r="9" spans="1:12" ht="11.25" customHeight="1" x14ac:dyDescent="0.25">
      <c r="A9" s="81" t="s">
        <v>119</v>
      </c>
      <c r="B9" s="136" t="s">
        <v>188</v>
      </c>
      <c r="C9" s="128"/>
      <c r="D9" s="128"/>
      <c r="E9" s="128"/>
      <c r="F9" s="137">
        <v>1.9800000190734864E-2</v>
      </c>
      <c r="G9" s="128"/>
    </row>
    <row r="11" spans="1:12" ht="14.4" customHeight="1" x14ac:dyDescent="0.25">
      <c r="A11" s="135" t="s">
        <v>120</v>
      </c>
      <c r="B11" s="128"/>
      <c r="C11" s="128"/>
      <c r="D11" s="128"/>
      <c r="E11" s="128"/>
      <c r="F11" s="128"/>
      <c r="G11" s="128"/>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6.65</v>
      </c>
      <c r="E13" s="63">
        <v>2.6328767123287671</v>
      </c>
      <c r="F13" s="64" t="s">
        <v>25</v>
      </c>
      <c r="G13" s="63">
        <v>4</v>
      </c>
    </row>
    <row r="14" spans="1:12" ht="14.4" customHeight="1" x14ac:dyDescent="0.25">
      <c r="A14" t="s">
        <v>124</v>
      </c>
      <c r="B14" t="s">
        <v>125</v>
      </c>
      <c r="C14" t="s">
        <v>126</v>
      </c>
      <c r="D14" s="63">
        <v>6</v>
      </c>
      <c r="E14" s="82">
        <v>0</v>
      </c>
      <c r="F14" t="s">
        <v>189</v>
      </c>
      <c r="G14" s="63">
        <v>3</v>
      </c>
    </row>
    <row r="15" spans="1:12" ht="14.4" customHeight="1" x14ac:dyDescent="0.25">
      <c r="D15" s="63"/>
      <c r="E15" s="82"/>
      <c r="G15" s="63"/>
    </row>
    <row r="16" spans="1:12" ht="14.4" customHeight="1" x14ac:dyDescent="0.25">
      <c r="D16" s="63"/>
      <c r="E16" s="82"/>
      <c r="G16" s="63"/>
    </row>
    <row r="17" spans="1:7" ht="14.4" customHeight="1" x14ac:dyDescent="0.25">
      <c r="D17" s="63"/>
      <c r="E17" s="82"/>
      <c r="G17" s="63"/>
    </row>
    <row r="18" spans="1:7" ht="14.4" customHeight="1" x14ac:dyDescent="0.25">
      <c r="D18" s="63"/>
      <c r="E18" s="82"/>
      <c r="G18" s="63"/>
    </row>
    <row r="19" spans="1:7" ht="14.4" customHeight="1" x14ac:dyDescent="0.25">
      <c r="D19" s="63"/>
      <c r="E19" s="82"/>
      <c r="G19" s="63"/>
    </row>
    <row r="20" spans="1:7" ht="14.4" customHeight="1" x14ac:dyDescent="0.25">
      <c r="A20" s="134" t="s">
        <v>127</v>
      </c>
      <c r="B20" s="134"/>
      <c r="C20" s="134"/>
      <c r="D20" s="134"/>
      <c r="E20" s="82"/>
      <c r="G20" s="63"/>
    </row>
    <row r="21" spans="1:7" ht="14.4" customHeight="1" x14ac:dyDescent="0.25">
      <c r="A21" s="83" t="s">
        <v>128</v>
      </c>
      <c r="B21" s="83" t="s">
        <v>129</v>
      </c>
      <c r="C21" s="83" t="s">
        <v>130</v>
      </c>
      <c r="D21" s="84" t="s">
        <v>131</v>
      </c>
      <c r="E21" s="82"/>
      <c r="G21" s="63"/>
    </row>
    <row r="22" spans="1:7" ht="14.4" customHeight="1" x14ac:dyDescent="0.25">
      <c r="A22" t="s">
        <v>132</v>
      </c>
      <c r="B22" t="s">
        <v>25</v>
      </c>
      <c r="C22" t="s">
        <v>133</v>
      </c>
      <c r="D22" s="63" t="s">
        <v>134</v>
      </c>
      <c r="E22" s="82"/>
      <c r="G22" s="63"/>
    </row>
    <row r="23" spans="1:7" ht="14.4" customHeight="1" x14ac:dyDescent="0.25">
      <c r="A23" t="s">
        <v>135</v>
      </c>
      <c r="B23" t="s">
        <v>25</v>
      </c>
      <c r="C23" t="s">
        <v>133</v>
      </c>
      <c r="D23" s="63" t="s">
        <v>134</v>
      </c>
      <c r="E23" s="82"/>
      <c r="G23" s="63"/>
    </row>
    <row r="24" spans="1:7" ht="14.4" customHeight="1" x14ac:dyDescent="0.25">
      <c r="A24" t="s">
        <v>136</v>
      </c>
      <c r="B24" t="s">
        <v>137</v>
      </c>
      <c r="C24" t="s">
        <v>133</v>
      </c>
      <c r="D24" s="63" t="s">
        <v>138</v>
      </c>
      <c r="E24" s="82"/>
      <c r="G24" s="63"/>
    </row>
    <row r="25" spans="1:7" ht="14.4" customHeight="1" x14ac:dyDescent="0.25">
      <c r="A25" t="s">
        <v>139</v>
      </c>
      <c r="B25" t="s">
        <v>137</v>
      </c>
      <c r="C25" t="s">
        <v>133</v>
      </c>
      <c r="D25" s="63" t="s">
        <v>138</v>
      </c>
      <c r="E25" s="82"/>
      <c r="G25" s="63"/>
    </row>
    <row r="26" spans="1:7" ht="14.4" customHeight="1" x14ac:dyDescent="0.25">
      <c r="D26" s="63"/>
      <c r="E26" s="82"/>
      <c r="G26" s="63"/>
    </row>
    <row r="27" spans="1:7" ht="14.4" customHeight="1" x14ac:dyDescent="0.25">
      <c r="D27" s="63"/>
      <c r="E27" s="82"/>
      <c r="G27" s="63"/>
    </row>
    <row r="28" spans="1:7" ht="14.4" customHeight="1" x14ac:dyDescent="0.25">
      <c r="D28" s="63"/>
      <c r="E28" s="82"/>
      <c r="G28" s="63"/>
    </row>
    <row r="29" spans="1:7" ht="14.4" customHeight="1" x14ac:dyDescent="0.25">
      <c r="D29" s="63"/>
      <c r="E29" s="82"/>
      <c r="G29" s="63"/>
    </row>
    <row r="30" spans="1:7" ht="14.4" customHeight="1" x14ac:dyDescent="0.25">
      <c r="D30" s="63"/>
      <c r="E30" s="82"/>
      <c r="G30" s="63"/>
    </row>
    <row r="31" spans="1:7" ht="14.4" customHeight="1" x14ac:dyDescent="0.25">
      <c r="D31" s="63"/>
      <c r="E31" s="82"/>
      <c r="G31" s="63"/>
    </row>
    <row r="32" spans="1:7" ht="14.4" customHeight="1" x14ac:dyDescent="0.25">
      <c r="D32" s="63"/>
      <c r="E32" s="82"/>
      <c r="G32" s="63"/>
    </row>
    <row r="33" spans="4:7" ht="14.4" customHeight="1" x14ac:dyDescent="0.25">
      <c r="D33" s="63"/>
      <c r="E33" s="82"/>
      <c r="G33" s="63"/>
    </row>
    <row r="34" spans="4:7" ht="14.4" customHeight="1" x14ac:dyDescent="0.25">
      <c r="D34" s="63"/>
      <c r="E34" s="82"/>
      <c r="G34" s="63"/>
    </row>
    <row r="35" spans="4:7" ht="14.4" customHeight="1" x14ac:dyDescent="0.25">
      <c r="D35" s="63"/>
      <c r="E35" s="82"/>
      <c r="G35" s="63"/>
    </row>
    <row r="36" spans="4:7" ht="14.4" customHeight="1" x14ac:dyDescent="0.25">
      <c r="D36" s="63"/>
      <c r="E36" s="82"/>
      <c r="G36" s="63"/>
    </row>
    <row r="37" spans="4:7" ht="14.4" customHeight="1" x14ac:dyDescent="0.25">
      <c r="D37" s="63"/>
      <c r="E37" s="82"/>
      <c r="G37" s="63"/>
    </row>
    <row r="38" spans="4:7" ht="14.4" customHeight="1" x14ac:dyDescent="0.25">
      <c r="D38" s="63"/>
      <c r="E38" s="82"/>
      <c r="G38" s="63"/>
    </row>
    <row r="39" spans="4:7" ht="14.4" customHeight="1" x14ac:dyDescent="0.25">
      <c r="D39" s="63"/>
      <c r="E39" s="82"/>
      <c r="G39" s="63"/>
    </row>
    <row r="40" spans="4:7" ht="14.4" customHeight="1" x14ac:dyDescent="0.25">
      <c r="D40" s="63"/>
      <c r="E40" s="82"/>
      <c r="G40" s="63"/>
    </row>
    <row r="41" spans="4:7" ht="14.4" customHeight="1" x14ac:dyDescent="0.25">
      <c r="D41" s="63"/>
      <c r="E41" s="82"/>
      <c r="G41" s="63"/>
    </row>
    <row r="42" spans="4:7" ht="14.4" customHeight="1" x14ac:dyDescent="0.25">
      <c r="D42" s="63"/>
      <c r="E42" s="82"/>
      <c r="G42" s="63"/>
    </row>
    <row r="43" spans="4:7" ht="14.4" customHeight="1" x14ac:dyDescent="0.25">
      <c r="D43" s="63"/>
      <c r="E43" s="82"/>
      <c r="G43" s="63"/>
    </row>
    <row r="44" spans="4:7" ht="14.4" customHeight="1" x14ac:dyDescent="0.25">
      <c r="D44" s="63"/>
      <c r="E44" s="82"/>
      <c r="G44" s="63"/>
    </row>
    <row r="45" spans="4:7" ht="14.4" customHeight="1" x14ac:dyDescent="0.25">
      <c r="D45" s="63"/>
      <c r="E45" s="82"/>
      <c r="G45" s="63"/>
    </row>
    <row r="46" spans="4:7" ht="14.4" customHeight="1" x14ac:dyDescent="0.25">
      <c r="D46" s="63"/>
      <c r="E46" s="82"/>
      <c r="G46" s="63"/>
    </row>
    <row r="47" spans="4:7" ht="14.4" customHeight="1" x14ac:dyDescent="0.25">
      <c r="D47" s="63"/>
      <c r="E47" s="82"/>
      <c r="G47" s="63"/>
    </row>
    <row r="48" spans="4: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140</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1:G1"/>
    <mergeCell ref="B2:C2"/>
    <mergeCell ref="E2:G2"/>
    <mergeCell ref="B3:C3"/>
    <mergeCell ref="E3:G3"/>
    <mergeCell ref="B4:G4"/>
    <mergeCell ref="B5:E5"/>
    <mergeCell ref="F5:G5"/>
    <mergeCell ref="B6:E6"/>
    <mergeCell ref="F6:G6"/>
    <mergeCell ref="A20:D20"/>
    <mergeCell ref="A11:G11"/>
    <mergeCell ref="B7:E7"/>
    <mergeCell ref="F7:G7"/>
    <mergeCell ref="B8:E8"/>
    <mergeCell ref="F8:G8"/>
    <mergeCell ref="B9:E9"/>
    <mergeCell ref="F9:G9"/>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activeCell="B6" sqref="B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28"/>
      <c r="C1" s="128"/>
      <c r="D1" s="128"/>
      <c r="E1" s="128"/>
      <c r="F1" s="128"/>
      <c r="G1" s="128"/>
      <c r="H1" s="128"/>
      <c r="I1" s="128"/>
      <c r="J1" s="128"/>
    </row>
    <row r="2" spans="1:10" x14ac:dyDescent="0.25">
      <c r="A2" s="135" t="s">
        <v>55</v>
      </c>
      <c r="B2" s="128"/>
      <c r="C2" s="128"/>
      <c r="D2" s="128"/>
      <c r="E2" s="128"/>
      <c r="F2" s="128"/>
      <c r="G2" s="143">
        <v>2017</v>
      </c>
      <c r="H2" s="128"/>
      <c r="I2" s="128"/>
      <c r="J2" s="128"/>
    </row>
    <row r="3" spans="1:10" ht="12.75" customHeight="1" x14ac:dyDescent="0.25">
      <c r="A3" s="135" t="s">
        <v>56</v>
      </c>
      <c r="B3" s="128"/>
      <c r="C3" s="135" t="s">
        <v>57</v>
      </c>
      <c r="D3" s="128"/>
      <c r="E3" s="135" t="s">
        <v>58</v>
      </c>
      <c r="F3" s="128"/>
      <c r="G3" s="135" t="s">
        <v>59</v>
      </c>
      <c r="H3" s="128"/>
      <c r="I3" s="135" t="s">
        <v>60</v>
      </c>
      <c r="J3" s="128"/>
    </row>
    <row r="4" spans="1:10" ht="21.6" customHeight="1" x14ac:dyDescent="0.25">
      <c r="A4" s="57" t="s">
        <v>61</v>
      </c>
      <c r="B4" s="85">
        <v>0.305504</v>
      </c>
      <c r="C4" s="57" t="s">
        <v>36</v>
      </c>
      <c r="D4" s="86">
        <v>2.1715</v>
      </c>
      <c r="E4" s="57" t="s">
        <v>41</v>
      </c>
      <c r="F4" s="85">
        <v>0.9375</v>
      </c>
      <c r="G4" s="57" t="s">
        <v>42</v>
      </c>
      <c r="H4" s="85">
        <v>0.20866700000000002</v>
      </c>
      <c r="I4" s="57"/>
      <c r="J4" s="87"/>
    </row>
    <row r="5" spans="1:10" ht="15.75" customHeight="1" x14ac:dyDescent="0.25">
      <c r="A5" s="57" t="s">
        <v>62</v>
      </c>
      <c r="B5" s="85">
        <v>0.52071400000000001</v>
      </c>
      <c r="C5" s="57" t="s">
        <v>63</v>
      </c>
      <c r="D5" s="86">
        <v>1.83</v>
      </c>
      <c r="E5" s="57" t="s">
        <v>64</v>
      </c>
      <c r="F5" s="86">
        <v>4.258</v>
      </c>
      <c r="G5" s="57" t="s">
        <v>65</v>
      </c>
      <c r="H5" s="85">
        <v>0.117174</v>
      </c>
      <c r="I5" s="57"/>
      <c r="J5" s="87"/>
    </row>
    <row r="6" spans="1:10" ht="15" customHeight="1" x14ac:dyDescent="0.25">
      <c r="A6" s="57" t="s">
        <v>66</v>
      </c>
      <c r="B6" s="85">
        <v>0.78492000000000006</v>
      </c>
      <c r="C6" s="57" t="s">
        <v>39</v>
      </c>
      <c r="D6" s="88">
        <v>0.2384</v>
      </c>
      <c r="E6" s="57" t="s">
        <v>67</v>
      </c>
      <c r="F6" s="86">
        <v>4.1653000000000002</v>
      </c>
      <c r="G6" s="57" t="s">
        <v>45</v>
      </c>
      <c r="H6" s="85">
        <v>5.4211999999999996E-2</v>
      </c>
      <c r="I6" s="57"/>
      <c r="J6" s="87"/>
    </row>
    <row r="7" spans="1:10" ht="14.25" customHeight="1" x14ac:dyDescent="0.25">
      <c r="A7" s="57" t="s">
        <v>38</v>
      </c>
      <c r="B7" s="88">
        <v>0.22660855506167651</v>
      </c>
      <c r="C7" s="57" t="s">
        <v>68</v>
      </c>
      <c r="D7" s="88">
        <v>9.0730000000000004</v>
      </c>
      <c r="E7" s="57" t="s">
        <v>69</v>
      </c>
      <c r="F7" s="86">
        <v>0.67720000000000002</v>
      </c>
      <c r="G7" s="57" t="s">
        <v>70</v>
      </c>
      <c r="H7" s="85">
        <v>4.6700999999999999E-2</v>
      </c>
      <c r="I7" s="57"/>
      <c r="J7" s="87"/>
    </row>
    <row r="8" spans="1:10" x14ac:dyDescent="0.25">
      <c r="A8" s="57"/>
      <c r="B8" s="89"/>
      <c r="C8" s="57"/>
      <c r="D8" s="90"/>
      <c r="E8" s="57" t="s">
        <v>71</v>
      </c>
      <c r="F8" s="86">
        <v>0.37080000000000002</v>
      </c>
      <c r="G8" s="57"/>
      <c r="H8" s="89"/>
      <c r="I8" s="57"/>
      <c r="J8" s="89"/>
    </row>
    <row r="9" spans="1:10" ht="13.5" customHeight="1" x14ac:dyDescent="0.25">
      <c r="A9" s="141" t="s">
        <v>72</v>
      </c>
      <c r="B9" s="128"/>
      <c r="C9" s="128"/>
      <c r="D9" s="128"/>
      <c r="E9" s="128"/>
      <c r="F9" s="128"/>
      <c r="G9" s="128"/>
      <c r="H9" s="128"/>
      <c r="I9" s="128"/>
      <c r="J9" s="128"/>
    </row>
    <row r="10" spans="1:10" ht="13.5" customHeight="1" x14ac:dyDescent="0.25">
      <c r="A10" s="135" t="s">
        <v>73</v>
      </c>
      <c r="B10" s="128"/>
      <c r="C10" s="128"/>
      <c r="D10" s="128"/>
      <c r="E10" s="128"/>
      <c r="F10" s="128"/>
      <c r="G10" s="142">
        <v>2017</v>
      </c>
      <c r="H10" s="128"/>
      <c r="I10" s="128"/>
      <c r="J10" s="128"/>
    </row>
    <row r="11" spans="1:10" x14ac:dyDescent="0.25">
      <c r="A11" s="135" t="s">
        <v>74</v>
      </c>
      <c r="B11" s="128"/>
      <c r="C11" s="135" t="s">
        <v>75</v>
      </c>
      <c r="D11" s="128"/>
      <c r="E11" s="135" t="s">
        <v>76</v>
      </c>
      <c r="F11" s="128"/>
      <c r="G11" s="128"/>
      <c r="H11" s="128"/>
      <c r="I11" s="128"/>
      <c r="J11" s="128"/>
    </row>
    <row r="12" spans="1:10" ht="14.25" customHeight="1" x14ac:dyDescent="0.25">
      <c r="A12" s="57" t="s">
        <v>77</v>
      </c>
      <c r="B12" s="91">
        <v>15.548992377899999</v>
      </c>
      <c r="C12" s="57" t="s">
        <v>78</v>
      </c>
      <c r="D12" s="88">
        <v>24.985471355399998</v>
      </c>
      <c r="E12" s="139" t="s">
        <v>79</v>
      </c>
      <c r="F12" s="128"/>
      <c r="G12" s="128"/>
      <c r="H12" s="140">
        <v>23.423800006900002</v>
      </c>
      <c r="I12" s="128"/>
      <c r="J12" s="128"/>
    </row>
    <row r="13" spans="1:10" ht="14.25" customHeight="1" x14ac:dyDescent="0.25">
      <c r="A13" s="57" t="s">
        <v>80</v>
      </c>
      <c r="B13" s="91">
        <v>7.1745780828000001</v>
      </c>
      <c r="C13" s="57" t="s">
        <v>81</v>
      </c>
      <c r="D13" s="88">
        <v>23.830151891999996</v>
      </c>
      <c r="E13" s="139" t="s">
        <v>82</v>
      </c>
      <c r="F13" s="128"/>
      <c r="G13" s="128"/>
      <c r="H13" s="140">
        <v>1.0886261418000001</v>
      </c>
      <c r="I13" s="128"/>
      <c r="J13" s="128"/>
    </row>
    <row r="14" spans="1:10" ht="14.25" customHeight="1" x14ac:dyDescent="0.25">
      <c r="A14" s="57" t="s">
        <v>83</v>
      </c>
      <c r="B14" s="91">
        <v>8.1430454100000008E-2</v>
      </c>
      <c r="C14" s="57" t="s">
        <v>84</v>
      </c>
      <c r="D14" s="88">
        <v>19.771832181500002</v>
      </c>
      <c r="E14" s="139" t="s">
        <v>85</v>
      </c>
      <c r="F14" s="128"/>
      <c r="G14" s="128"/>
      <c r="H14" s="140">
        <v>25.401587300999999</v>
      </c>
      <c r="I14" s="128"/>
      <c r="J14" s="128"/>
    </row>
    <row r="15" spans="1:10" ht="14.25" customHeight="1" x14ac:dyDescent="0.25">
      <c r="A15" s="57" t="s">
        <v>86</v>
      </c>
      <c r="B15" s="91">
        <v>16.116859224300001</v>
      </c>
      <c r="C15" s="57" t="s">
        <v>87</v>
      </c>
      <c r="D15" s="88">
        <v>1.0139921609</v>
      </c>
      <c r="E15" s="139" t="s">
        <v>88</v>
      </c>
      <c r="F15" s="128"/>
      <c r="G15" s="128"/>
      <c r="H15" s="140">
        <v>18.968750723900001</v>
      </c>
      <c r="I15" s="128"/>
      <c r="J15" s="128"/>
    </row>
    <row r="16" spans="1:10" ht="14.25" customHeight="1" x14ac:dyDescent="0.25">
      <c r="A16" s="57" t="s">
        <v>89</v>
      </c>
      <c r="B16" s="91">
        <v>1.2404654914</v>
      </c>
      <c r="C16" s="57" t="s">
        <v>90</v>
      </c>
      <c r="D16" s="88">
        <v>1.8834738605000001</v>
      </c>
      <c r="E16" s="139" t="s">
        <v>91</v>
      </c>
      <c r="F16" s="128"/>
      <c r="G16" s="128"/>
      <c r="H16" s="140">
        <v>0.75911949810000001</v>
      </c>
      <c r="I16" s="128"/>
      <c r="J16" s="128"/>
    </row>
    <row r="17" spans="1:10" ht="14.25" customHeight="1" x14ac:dyDescent="0.25">
      <c r="A17" s="57" t="s">
        <v>92</v>
      </c>
      <c r="B17" s="91">
        <v>2.3201833178999998</v>
      </c>
      <c r="C17" s="57" t="s">
        <v>93</v>
      </c>
      <c r="D17" s="88">
        <v>0.48512864229999997</v>
      </c>
      <c r="E17" s="139" t="s">
        <v>94</v>
      </c>
      <c r="F17" s="128"/>
      <c r="G17" s="128"/>
      <c r="H17" s="140">
        <v>25.973629251599998</v>
      </c>
      <c r="I17" s="128"/>
      <c r="J17" s="128"/>
    </row>
    <row r="18" spans="1:10" ht="14.25" customHeight="1" x14ac:dyDescent="0.25">
      <c r="A18" s="57" t="s">
        <v>95</v>
      </c>
      <c r="B18" s="91">
        <v>67.813383780400002</v>
      </c>
      <c r="C18" s="57" t="s">
        <v>96</v>
      </c>
      <c r="D18" s="88">
        <v>2.9276404533</v>
      </c>
      <c r="E18" s="139" t="s">
        <v>97</v>
      </c>
      <c r="F18" s="128"/>
      <c r="G18" s="128"/>
      <c r="H18" s="140">
        <v>-0.57204195060000007</v>
      </c>
      <c r="I18" s="128"/>
      <c r="J18" s="128"/>
    </row>
    <row r="19" spans="1:10" ht="14.25" customHeight="1" x14ac:dyDescent="0.25">
      <c r="A19" s="57" t="s">
        <v>98</v>
      </c>
      <c r="B19" s="91">
        <v>8.0299999999999994</v>
      </c>
      <c r="C19" s="57" t="s">
        <v>99</v>
      </c>
      <c r="D19" s="88">
        <v>2.8113611099</v>
      </c>
      <c r="E19" s="139" t="s">
        <v>100</v>
      </c>
      <c r="F19" s="128"/>
      <c r="G19" s="128"/>
      <c r="H19" s="140">
        <v>-6.7028151069000002</v>
      </c>
      <c r="I19" s="128"/>
      <c r="J19" s="128"/>
    </row>
    <row r="20" spans="1:10" ht="27" customHeight="1" x14ac:dyDescent="0.25">
      <c r="A20" s="57" t="s">
        <v>101</v>
      </c>
      <c r="B20" s="91">
        <v>0.6</v>
      </c>
      <c r="C20" s="57" t="s">
        <v>43</v>
      </c>
      <c r="D20" s="88">
        <v>2.3316157633000003</v>
      </c>
      <c r="E20" s="139" t="s">
        <v>102</v>
      </c>
      <c r="F20" s="128"/>
      <c r="G20" s="128"/>
      <c r="H20" s="140">
        <v>1.5215364665</v>
      </c>
      <c r="I20" s="128"/>
      <c r="J20" s="128"/>
    </row>
    <row r="21" spans="1:10" ht="16.5" customHeight="1" x14ac:dyDescent="0.25">
      <c r="A21" s="57" t="s">
        <v>103</v>
      </c>
      <c r="B21" s="91">
        <v>0</v>
      </c>
      <c r="C21" s="57"/>
      <c r="D21" s="92"/>
      <c r="E21" s="139" t="s">
        <v>104</v>
      </c>
      <c r="F21" s="128"/>
      <c r="G21" s="128"/>
      <c r="H21" s="140">
        <v>10.050000000000001</v>
      </c>
      <c r="I21" s="128"/>
      <c r="J21" s="128"/>
    </row>
    <row r="22" spans="1:10" ht="14.25" customHeight="1" x14ac:dyDescent="0.25">
      <c r="A22" s="57" t="s">
        <v>105</v>
      </c>
      <c r="B22" s="91">
        <v>2.042388613</v>
      </c>
      <c r="C22" s="57"/>
      <c r="D22" s="92"/>
      <c r="E22" s="139" t="s">
        <v>106</v>
      </c>
      <c r="F22" s="128"/>
      <c r="G22" s="128"/>
      <c r="H22" s="140">
        <v>0</v>
      </c>
      <c r="I22" s="128"/>
      <c r="J22" s="128"/>
    </row>
    <row r="23" spans="1:10" ht="14.25" customHeight="1" x14ac:dyDescent="0.25">
      <c r="A23" s="57" t="s">
        <v>107</v>
      </c>
      <c r="B23" s="91">
        <v>0</v>
      </c>
      <c r="C23" s="57"/>
      <c r="D23" s="92"/>
      <c r="E23" s="139" t="s">
        <v>108</v>
      </c>
      <c r="F23" s="128"/>
      <c r="G23" s="128"/>
      <c r="H23" s="140">
        <v>11.571536466500001</v>
      </c>
      <c r="I23" s="128"/>
      <c r="J23" s="128"/>
    </row>
    <row r="24" spans="1:10" ht="14.25" customHeight="1" x14ac:dyDescent="0.25">
      <c r="A24" s="57" t="s">
        <v>109</v>
      </c>
      <c r="B24" s="91">
        <v>20.717242109600001</v>
      </c>
      <c r="C24" s="93"/>
      <c r="D24" s="90"/>
      <c r="E24" s="139" t="s">
        <v>110</v>
      </c>
      <c r="F24" s="128"/>
      <c r="G24" s="128"/>
      <c r="H24" s="140">
        <v>10.7587464892</v>
      </c>
      <c r="I24" s="128"/>
      <c r="J24" s="128"/>
    </row>
    <row r="25" spans="1:10" ht="14.25" customHeight="1" x14ac:dyDescent="0.25">
      <c r="A25" s="57" t="s">
        <v>111</v>
      </c>
      <c r="B25" s="91">
        <v>47.096141670800002</v>
      </c>
      <c r="C25" s="93"/>
      <c r="D25" s="90"/>
      <c r="E25" s="139" t="s">
        <v>112</v>
      </c>
      <c r="F25" s="128"/>
      <c r="G25" s="128"/>
      <c r="H25" s="140">
        <v>11.903881116300001</v>
      </c>
      <c r="I25" s="128"/>
      <c r="J25" s="128"/>
    </row>
    <row r="26" spans="1:10" ht="14.25" customHeight="1" x14ac:dyDescent="0.25">
      <c r="A26" s="94" t="s">
        <v>113</v>
      </c>
      <c r="B26" s="91">
        <v>67.813383780400002</v>
      </c>
      <c r="C26" s="93"/>
      <c r="D26" s="90"/>
      <c r="E26" s="139" t="s">
        <v>114</v>
      </c>
      <c r="F26" s="128"/>
      <c r="G26" s="128"/>
      <c r="H26" s="140">
        <v>-0.3323446498</v>
      </c>
      <c r="I26" s="128"/>
      <c r="J26" s="128"/>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A1:J1"/>
    <mergeCell ref="A2:F2"/>
    <mergeCell ref="G2:J2"/>
    <mergeCell ref="A3:B3"/>
    <mergeCell ref="C3:D3"/>
    <mergeCell ref="E3:F3"/>
    <mergeCell ref="G3:H3"/>
    <mergeCell ref="I3:J3"/>
    <mergeCell ref="A9:J9"/>
    <mergeCell ref="A10:F10"/>
    <mergeCell ref="G10:J10"/>
    <mergeCell ref="A11:B11"/>
    <mergeCell ref="C11:D11"/>
    <mergeCell ref="E11:J11"/>
    <mergeCell ref="E12:G12"/>
    <mergeCell ref="H12:J12"/>
    <mergeCell ref="E13:G13"/>
    <mergeCell ref="H13:J13"/>
    <mergeCell ref="E14:G14"/>
    <mergeCell ref="H14:J14"/>
    <mergeCell ref="E15:G15"/>
    <mergeCell ref="H15:J15"/>
    <mergeCell ref="E16:G16"/>
    <mergeCell ref="H16:J16"/>
    <mergeCell ref="E17:G17"/>
    <mergeCell ref="H17:J17"/>
    <mergeCell ref="E18:G18"/>
    <mergeCell ref="H18:J18"/>
    <mergeCell ref="E19:G19"/>
    <mergeCell ref="H19:J19"/>
    <mergeCell ref="E20:G20"/>
    <mergeCell ref="H20:J20"/>
    <mergeCell ref="E21:G21"/>
    <mergeCell ref="H21:J21"/>
    <mergeCell ref="E22:G22"/>
    <mergeCell ref="H22:J22"/>
    <mergeCell ref="E23:G23"/>
    <mergeCell ref="H23:J23"/>
    <mergeCell ref="E24:G24"/>
    <mergeCell ref="H24:J24"/>
    <mergeCell ref="E25:G25"/>
    <mergeCell ref="H25:J25"/>
    <mergeCell ref="E26:G26"/>
    <mergeCell ref="H26:J26"/>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activeCell="C8" sqref="C8"/>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2" t="s">
        <v>141</v>
      </c>
      <c r="B1" s="113"/>
      <c r="C1" s="113"/>
      <c r="D1" s="113"/>
      <c r="E1" s="113"/>
      <c r="F1" s="113"/>
      <c r="G1" s="113"/>
      <c r="H1" s="113"/>
      <c r="I1" s="113"/>
    </row>
    <row r="2" spans="1:10" ht="46.5" customHeight="1" x14ac:dyDescent="0.25">
      <c r="A2" s="54" t="s">
        <v>22</v>
      </c>
      <c r="B2" s="43" t="s">
        <v>179</v>
      </c>
      <c r="C2" s="43" t="s">
        <v>142</v>
      </c>
      <c r="D2" s="43" t="s">
        <v>190</v>
      </c>
      <c r="E2" s="43" t="s">
        <v>191</v>
      </c>
      <c r="F2" s="43" t="s">
        <v>192</v>
      </c>
      <c r="G2" s="43" t="s">
        <v>193</v>
      </c>
      <c r="H2" s="43" t="s">
        <v>194</v>
      </c>
      <c r="I2" s="43" t="s">
        <v>195</v>
      </c>
      <c r="J2" s="43" t="s">
        <v>196</v>
      </c>
    </row>
    <row r="3" spans="1:10" x14ac:dyDescent="0.25">
      <c r="A3" s="54" t="s">
        <v>24</v>
      </c>
      <c r="B3" s="96" t="s">
        <v>25</v>
      </c>
      <c r="C3" s="97" t="s">
        <v>143</v>
      </c>
      <c r="D3" s="96" t="s">
        <v>25</v>
      </c>
      <c r="E3" s="96" t="s">
        <v>25</v>
      </c>
      <c r="F3" s="96" t="s">
        <v>25</v>
      </c>
      <c r="G3" s="96" t="s">
        <v>25</v>
      </c>
      <c r="H3" s="96" t="s">
        <v>25</v>
      </c>
      <c r="I3" s="96" t="s">
        <v>25</v>
      </c>
      <c r="J3" s="96" t="s">
        <v>25</v>
      </c>
    </row>
    <row r="4" spans="1:10" s="7" customFormat="1" ht="21.6" x14ac:dyDescent="0.25">
      <c r="A4" s="9" t="s">
        <v>3</v>
      </c>
      <c r="B4" s="98" t="s">
        <v>180</v>
      </c>
      <c r="C4" s="97" t="s">
        <v>143</v>
      </c>
      <c r="D4" s="98" t="s">
        <v>197</v>
      </c>
      <c r="E4" s="98" t="s">
        <v>180</v>
      </c>
      <c r="F4" s="98" t="s">
        <v>197</v>
      </c>
      <c r="G4" s="98" t="s">
        <v>197</v>
      </c>
      <c r="H4" s="98" t="s">
        <v>197</v>
      </c>
      <c r="I4" s="98" t="s">
        <v>197</v>
      </c>
      <c r="J4" s="98" t="s">
        <v>180</v>
      </c>
    </row>
    <row r="5" spans="1:10" s="7" customFormat="1" x14ac:dyDescent="0.25">
      <c r="A5" s="9" t="s">
        <v>29</v>
      </c>
      <c r="B5" s="99" t="s">
        <v>30</v>
      </c>
      <c r="C5" s="97" t="s">
        <v>143</v>
      </c>
      <c r="D5" s="99" t="s">
        <v>30</v>
      </c>
      <c r="E5" s="99" t="s">
        <v>30</v>
      </c>
      <c r="F5" s="99" t="s">
        <v>30</v>
      </c>
      <c r="G5" s="99" t="s">
        <v>30</v>
      </c>
      <c r="H5" s="99" t="s">
        <v>30</v>
      </c>
      <c r="I5" s="99" t="s">
        <v>30</v>
      </c>
      <c r="J5" s="99" t="s">
        <v>30</v>
      </c>
    </row>
    <row r="6" spans="1:10" x14ac:dyDescent="0.25">
      <c r="A6" s="54" t="s">
        <v>32</v>
      </c>
      <c r="B6" s="100">
        <v>67.813383780400002</v>
      </c>
      <c r="C6" s="97">
        <v>260.74835644704285</v>
      </c>
      <c r="D6" s="100">
        <v>457.55917475500002</v>
      </c>
      <c r="E6" s="100">
        <v>830.89502196600006</v>
      </c>
      <c r="F6" s="100">
        <v>300.20483774550001</v>
      </c>
      <c r="G6" s="100">
        <v>69.307013935399993</v>
      </c>
      <c r="H6" s="100">
        <v>100.49137584540001</v>
      </c>
      <c r="I6" s="100">
        <v>66.781070881999995</v>
      </c>
      <c r="J6" s="100">
        <v>0</v>
      </c>
    </row>
    <row r="7" spans="1:10" x14ac:dyDescent="0.25">
      <c r="A7" s="54" t="s">
        <v>34</v>
      </c>
      <c r="B7" s="44">
        <v>0.305504</v>
      </c>
      <c r="C7" s="97">
        <v>0.4847671428571429</v>
      </c>
      <c r="D7" s="44">
        <v>0.69160700000000008</v>
      </c>
      <c r="E7" s="44">
        <v>0.75078400000000001</v>
      </c>
      <c r="F7" s="44">
        <v>0.75717900000000005</v>
      </c>
      <c r="G7" s="44">
        <v>0.39628999999999998</v>
      </c>
      <c r="H7" s="44">
        <v>0.34983700000000001</v>
      </c>
      <c r="I7" s="44">
        <v>0.44767299999999999</v>
      </c>
      <c r="J7" s="44">
        <v>0</v>
      </c>
    </row>
    <row r="8" spans="1:10" x14ac:dyDescent="0.25">
      <c r="A8" s="54" t="s">
        <v>36</v>
      </c>
      <c r="B8" s="100">
        <v>2.1715</v>
      </c>
      <c r="C8" s="97">
        <v>1.1501714285714286</v>
      </c>
      <c r="D8" s="100">
        <v>1.0992999999999999</v>
      </c>
      <c r="E8" s="100">
        <v>1.0697000000000001</v>
      </c>
      <c r="F8" s="100">
        <v>0.80659999999999998</v>
      </c>
      <c r="G8" s="100">
        <v>1.8742000000000001</v>
      </c>
      <c r="H8" s="100">
        <v>1.8808</v>
      </c>
      <c r="I8" s="100">
        <v>1.3206</v>
      </c>
      <c r="J8" s="100">
        <v>0</v>
      </c>
    </row>
    <row r="9" spans="1:10" x14ac:dyDescent="0.25">
      <c r="A9" s="54" t="s">
        <v>38</v>
      </c>
      <c r="B9" s="96">
        <v>0.22660855506167651</v>
      </c>
      <c r="C9" s="97" t="e">
        <v>#DIV/0!</v>
      </c>
      <c r="D9" s="96">
        <v>1.6594732248759128</v>
      </c>
      <c r="E9" s="96">
        <v>1.8827360773360748</v>
      </c>
      <c r="F9" s="96">
        <v>2.0001585903227768</v>
      </c>
      <c r="G9" s="96">
        <v>0.41858455944008527</v>
      </c>
      <c r="H9" s="96">
        <v>0.17334670574621991</v>
      </c>
      <c r="I9" s="96">
        <v>0.25595840363654748</v>
      </c>
      <c r="J9" s="96" t="e">
        <v>#DIV/0!</v>
      </c>
    </row>
    <row r="10" spans="1:10" ht="21.6" customHeight="1" x14ac:dyDescent="0.25">
      <c r="A10" s="54" t="s">
        <v>39</v>
      </c>
      <c r="B10" s="100">
        <v>0.2384</v>
      </c>
      <c r="C10" s="97">
        <v>0.16184285714285715</v>
      </c>
      <c r="D10" s="100">
        <v>0.1069</v>
      </c>
      <c r="E10" s="100">
        <v>6.5799999999999997E-2</v>
      </c>
      <c r="F10" s="100">
        <v>5.21E-2</v>
      </c>
      <c r="G10" s="100">
        <v>0.20910000000000001</v>
      </c>
      <c r="H10" s="100">
        <v>0.49580000000000002</v>
      </c>
      <c r="I10" s="100">
        <v>0.20319999999999999</v>
      </c>
      <c r="J10" s="100">
        <v>0</v>
      </c>
    </row>
    <row r="11" spans="1:10" x14ac:dyDescent="0.25">
      <c r="A11" s="54" t="s">
        <v>40</v>
      </c>
      <c r="B11" s="100">
        <v>24.985471355399998</v>
      </c>
      <c r="C11" s="97">
        <v>133.12331034994287</v>
      </c>
      <c r="D11" s="100">
        <v>315.91135303790003</v>
      </c>
      <c r="E11" s="100">
        <v>294.71420228259996</v>
      </c>
      <c r="F11" s="100">
        <v>126.0044352705</v>
      </c>
      <c r="G11" s="100">
        <v>50.228282127700005</v>
      </c>
      <c r="H11" s="100">
        <v>101.7722682799</v>
      </c>
      <c r="I11" s="100">
        <v>43.232631451000003</v>
      </c>
      <c r="J11" s="100">
        <v>0</v>
      </c>
    </row>
    <row r="12" spans="1:10" s="7" customFormat="1" x14ac:dyDescent="0.25">
      <c r="A12" s="9" t="s">
        <v>41</v>
      </c>
      <c r="B12" s="45">
        <v>0.9375</v>
      </c>
      <c r="C12" s="97">
        <v>0.76101428571428564</v>
      </c>
      <c r="D12" s="45">
        <v>1.0069999999999999</v>
      </c>
      <c r="E12" s="45">
        <v>0.89290000000000003</v>
      </c>
      <c r="F12" s="45">
        <v>0.90239999999999998</v>
      </c>
      <c r="G12" s="45">
        <v>1.0044999999999999</v>
      </c>
      <c r="H12" s="45">
        <v>0.92749999999999999</v>
      </c>
      <c r="I12" s="45">
        <v>0.59279999999999999</v>
      </c>
      <c r="J12" s="45">
        <v>0</v>
      </c>
    </row>
    <row r="13" spans="1:10" s="7" customFormat="1" x14ac:dyDescent="0.25">
      <c r="A13" s="9" t="s">
        <v>42</v>
      </c>
      <c r="B13" s="45">
        <v>0.20866700000000002</v>
      </c>
      <c r="C13" s="97">
        <v>0.13823985714285714</v>
      </c>
      <c r="D13" s="45">
        <v>0.141071</v>
      </c>
      <c r="E13" s="45">
        <v>6.7823999999999995E-2</v>
      </c>
      <c r="F13" s="45">
        <v>0.13001200000000002</v>
      </c>
      <c r="G13" s="45">
        <v>0.16546</v>
      </c>
      <c r="H13" s="45">
        <v>0.20172499999999999</v>
      </c>
      <c r="I13" s="45">
        <v>0.26158700000000001</v>
      </c>
      <c r="J13" s="45">
        <v>0</v>
      </c>
    </row>
    <row r="14" spans="1:10" s="7" customFormat="1" x14ac:dyDescent="0.25">
      <c r="A14" s="9" t="s">
        <v>43</v>
      </c>
      <c r="B14" s="101">
        <v>2.3316157633000003</v>
      </c>
      <c r="C14" s="97">
        <v>4.4474749400000002</v>
      </c>
      <c r="D14" s="101">
        <v>10.134381446499999</v>
      </c>
      <c r="E14" s="101">
        <v>2.644602318</v>
      </c>
      <c r="F14" s="101">
        <v>1.555899514</v>
      </c>
      <c r="G14" s="101">
        <v>3.3666801129000001</v>
      </c>
      <c r="H14" s="101">
        <v>9.998207454600001</v>
      </c>
      <c r="I14" s="101">
        <v>3.4325537339999999</v>
      </c>
      <c r="J14" s="101">
        <v>0</v>
      </c>
    </row>
    <row r="15" spans="1:10" x14ac:dyDescent="0.25">
      <c r="A15" s="54" t="s">
        <v>45</v>
      </c>
      <c r="B15" s="44">
        <v>5.4211999999999996E-2</v>
      </c>
      <c r="C15" s="97">
        <v>6.2509571428571428E-2</v>
      </c>
      <c r="D15" s="44">
        <v>5.4600999999999997E-2</v>
      </c>
      <c r="E15" s="44">
        <v>1.4369E-2</v>
      </c>
      <c r="F15" s="44">
        <v>2.4496000000000004E-2</v>
      </c>
      <c r="G15" s="44">
        <v>7.4741000000000002E-2</v>
      </c>
      <c r="H15" s="44">
        <v>0.15920799999999999</v>
      </c>
      <c r="I15" s="44">
        <v>0.110152</v>
      </c>
      <c r="J15" s="44">
        <v>0</v>
      </c>
    </row>
    <row r="16" spans="1:10" s="7" customFormat="1" ht="25.8" customHeight="1" x14ac:dyDescent="0.25">
      <c r="A16" s="9" t="s">
        <v>46</v>
      </c>
      <c r="B16" s="101">
        <v>-0.57204195060000007</v>
      </c>
      <c r="C16" s="97">
        <v>1.5582088979000002</v>
      </c>
      <c r="D16" s="101">
        <v>35.310391960300002</v>
      </c>
      <c r="E16" s="101">
        <v>-31.2222580886</v>
      </c>
      <c r="F16" s="101">
        <v>-3.3039008224000002</v>
      </c>
      <c r="G16" s="101">
        <v>-2.3496047178000001</v>
      </c>
      <c r="H16" s="101">
        <v>9.6955292411000009</v>
      </c>
      <c r="I16" s="101">
        <v>2.7773047126999999</v>
      </c>
      <c r="J16" s="101">
        <v>0</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4" t="s">
        <v>144</v>
      </c>
      <c r="B1" s="113"/>
      <c r="C1" s="113"/>
      <c r="D1" s="113"/>
      <c r="E1" s="113"/>
      <c r="F1" s="113"/>
    </row>
    <row r="2" spans="1:6" x14ac:dyDescent="0.25">
      <c r="A2" s="51" t="s">
        <v>145</v>
      </c>
      <c r="B2" s="50" t="s">
        <v>146</v>
      </c>
      <c r="C2" s="50" t="s">
        <v>147</v>
      </c>
      <c r="D2" s="50" t="s">
        <v>148</v>
      </c>
      <c r="E2" s="50" t="s">
        <v>131</v>
      </c>
      <c r="F2" s="50" t="s">
        <v>149</v>
      </c>
    </row>
    <row r="3" spans="1:6" ht="48" customHeight="1" x14ac:dyDescent="0.25">
      <c r="A3" s="53" t="s">
        <v>150</v>
      </c>
      <c r="B3" s="52"/>
      <c r="C3" s="103"/>
      <c r="D3" s="103"/>
      <c r="E3" s="52"/>
      <c r="F3" s="103"/>
    </row>
    <row r="4" spans="1:6" ht="49.5" customHeight="1" x14ac:dyDescent="0.25">
      <c r="A4" s="53"/>
      <c r="B4" s="52"/>
      <c r="C4" s="103"/>
      <c r="D4" s="103"/>
      <c r="E4" s="52"/>
      <c r="F4" s="103"/>
    </row>
    <row r="5" spans="1:6" x14ac:dyDescent="0.25">
      <c r="A5" s="53"/>
      <c r="B5" s="52"/>
      <c r="C5" s="103"/>
      <c r="D5" s="103"/>
      <c r="E5" s="52"/>
      <c r="F5" s="103"/>
    </row>
    <row r="6" spans="1:6" x14ac:dyDescent="0.25">
      <c r="A6" s="53"/>
      <c r="B6" s="52"/>
      <c r="C6" s="103"/>
      <c r="D6" s="103"/>
      <c r="E6" s="52"/>
      <c r="F6" s="103"/>
    </row>
    <row r="7" spans="1:6" x14ac:dyDescent="0.25">
      <c r="A7" s="53"/>
      <c r="B7" s="52"/>
      <c r="C7" s="103"/>
      <c r="D7" s="103"/>
      <c r="E7" s="52"/>
      <c r="F7" s="103"/>
    </row>
    <row r="8" spans="1:6" x14ac:dyDescent="0.25">
      <c r="A8" s="53"/>
      <c r="B8" s="52"/>
      <c r="C8" s="103"/>
      <c r="D8" s="103"/>
      <c r="E8" s="52"/>
      <c r="F8" s="103"/>
    </row>
    <row r="9" spans="1:6" x14ac:dyDescent="0.25">
      <c r="A9" s="53"/>
      <c r="B9" s="52"/>
      <c r="C9" s="103"/>
      <c r="D9" s="103"/>
      <c r="E9" s="52"/>
      <c r="F9" s="103"/>
    </row>
    <row r="10" spans="1:6" x14ac:dyDescent="0.25">
      <c r="A10" s="53"/>
      <c r="B10" s="52"/>
      <c r="C10" s="103"/>
      <c r="D10" s="103"/>
      <c r="E10" s="52"/>
      <c r="F10" s="103"/>
    </row>
    <row r="11" spans="1:6" x14ac:dyDescent="0.25">
      <c r="A11" s="53"/>
      <c r="B11" s="52"/>
      <c r="C11" s="103"/>
      <c r="D11" s="103"/>
      <c r="E11" s="52"/>
      <c r="F11" s="103"/>
    </row>
    <row r="15" spans="1:6" ht="27" customHeight="1" x14ac:dyDescent="0.25"/>
    <row r="16" spans="1:6" ht="27" customHeight="1" x14ac:dyDescent="0.25"/>
    <row r="18" spans="1:6" x14ac:dyDescent="0.25">
      <c r="A18" s="134" t="s">
        <v>151</v>
      </c>
      <c r="B18" s="134"/>
      <c r="C18" s="134"/>
      <c r="D18" s="134"/>
      <c r="E18" s="134"/>
      <c r="F18" s="134"/>
    </row>
    <row r="19" spans="1:6" x14ac:dyDescent="0.25">
      <c r="A19" s="83" t="s">
        <v>145</v>
      </c>
      <c r="B19" s="83" t="s">
        <v>146</v>
      </c>
      <c r="C19" s="83" t="s">
        <v>152</v>
      </c>
      <c r="D19" s="83" t="s">
        <v>153</v>
      </c>
      <c r="E19" s="83" t="s">
        <v>131</v>
      </c>
      <c r="F19" s="83" t="s">
        <v>149</v>
      </c>
    </row>
  </sheetData>
  <mergeCells count="2">
    <mergeCell ref="A1:F1"/>
    <mergeCell ref="A18:F18"/>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4" customWidth="1"/>
    <col min="17" max="17" width="12" style="56" customWidth="1"/>
    <col min="18" max="18" width="10.44140625" style="56" customWidth="1"/>
  </cols>
  <sheetData>
    <row r="1" spans="1:18" x14ac:dyDescent="0.25">
      <c r="A1" s="145" t="s">
        <v>154</v>
      </c>
      <c r="B1" s="113"/>
      <c r="C1" s="113"/>
      <c r="D1" s="113"/>
      <c r="E1" s="113"/>
      <c r="F1" s="113"/>
      <c r="G1" s="113"/>
      <c r="H1" s="113"/>
      <c r="I1" s="113"/>
      <c r="J1" s="113"/>
      <c r="K1" s="113"/>
      <c r="L1" s="113"/>
      <c r="M1" s="113"/>
      <c r="N1" s="113"/>
    </row>
    <row r="2" spans="1:18" s="1" customFormat="1" ht="25.5" customHeight="1" x14ac:dyDescent="0.25">
      <c r="A2" s="55" t="s">
        <v>155</v>
      </c>
      <c r="B2" s="55" t="s">
        <v>156</v>
      </c>
      <c r="C2" s="55" t="s">
        <v>157</v>
      </c>
      <c r="D2" s="55" t="s">
        <v>158</v>
      </c>
      <c r="E2" s="55" t="s">
        <v>159</v>
      </c>
      <c r="F2" s="55" t="s">
        <v>160</v>
      </c>
      <c r="G2" s="55" t="s">
        <v>161</v>
      </c>
      <c r="H2" s="55" t="s">
        <v>16</v>
      </c>
      <c r="I2" s="55" t="s">
        <v>162</v>
      </c>
      <c r="J2" s="55" t="s">
        <v>163</v>
      </c>
      <c r="K2" s="55" t="s">
        <v>164</v>
      </c>
      <c r="L2" s="55" t="s">
        <v>165</v>
      </c>
      <c r="M2" s="55" t="s">
        <v>19</v>
      </c>
      <c r="N2" s="55" t="s">
        <v>166</v>
      </c>
      <c r="O2" s="3"/>
      <c r="P2" s="105" t="str">
        <f ca="1">Q2</f>
        <v>2019-04-15</v>
      </c>
      <c r="Q2" s="1" t="str">
        <f ca="1">[1]!td(R2-1)</f>
        <v>2019-04-15</v>
      </c>
      <c r="R2" s="3">
        <f ca="1">TODAY()</f>
        <v>43571</v>
      </c>
    </row>
    <row r="3" spans="1:18" ht="15.75" customHeight="1" x14ac:dyDescent="0.25">
      <c r="A3" s="106" t="str">
        <f>[1]!b_info_name(L3)</f>
        <v>19渤海汽车MTN001</v>
      </c>
      <c r="B3" s="2" t="str">
        <f>[1]!b_issue_firstissue(L3)</f>
        <v>2019-04-17</v>
      </c>
      <c r="C3" s="106">
        <f>[1]!b_info_term(L3)</f>
        <v>3</v>
      </c>
      <c r="D3" s="107" t="str">
        <f>[1]!issuerrating(L3)</f>
        <v>AA</v>
      </c>
      <c r="E3" s="107" t="str">
        <f>[1]!b_info_creditrating(L3)</f>
        <v>AA</v>
      </c>
      <c r="F3" s="106" t="str">
        <f>[1]!b_rate_creditratingagency(L3)</f>
        <v>中诚信国际信用评级有限责任公司</v>
      </c>
      <c r="G3" s="108">
        <f>[1]!b_agency_guarantor(L3)</f>
        <v>0</v>
      </c>
      <c r="H3" s="109" t="s">
        <v>167</v>
      </c>
      <c r="I3" s="65"/>
      <c r="J3" s="110" t="s">
        <v>167</v>
      </c>
      <c r="K3" s="111"/>
      <c r="L3" s="41" t="str">
        <f>公式页!A2</f>
        <v>q19041502.IB</v>
      </c>
      <c r="M3" s="109" t="s">
        <v>167</v>
      </c>
      <c r="N3" s="106" t="str">
        <f>[1]!b_agency_leadunderwriter(L3)</f>
        <v>中国民生银行股份有限公司,招商银行股份有限公司</v>
      </c>
      <c r="P3" s="104" t="str">
        <f t="shared" ref="P3:P29" ca="1" si="0">$P$2</f>
        <v>2019-04-15</v>
      </c>
    </row>
    <row r="4" spans="1:18" ht="15.75" customHeight="1" x14ac:dyDescent="0.25">
      <c r="A4" s="106" t="str">
        <f>[1]!b_info_name(L4)</f>
        <v>14渤化永利MTN001</v>
      </c>
      <c r="B4" s="2" t="str">
        <f>[1]!b_issue_firstissue(L4)</f>
        <v>2014-08-14</v>
      </c>
      <c r="C4" s="106">
        <f>[1]!b_info_term(L4)</f>
        <v>5</v>
      </c>
      <c r="D4" s="107" t="str">
        <f>[1]!issuerrating(L4)</f>
        <v>AA-</v>
      </c>
      <c r="E4" s="107" t="str">
        <f>[1]!b_info_creditrating(L4)</f>
        <v>AA+</v>
      </c>
      <c r="F4" s="106" t="str">
        <f>[1]!b_rate_creditratingagency(L4)</f>
        <v>大公国际资信评估有限公司</v>
      </c>
      <c r="G4" s="108" t="str">
        <f>[1]!b_agency_guarantor(L4)</f>
        <v>天津渤海化工集团有限责任公司</v>
      </c>
      <c r="H4" s="109">
        <f>[1]!b_info_couponrate(L4)</f>
        <v>6.4</v>
      </c>
      <c r="I4" s="65"/>
      <c r="J4" s="110">
        <f ca="1">[1]!b_anal_yield_cnbd(L4,P2,1)</f>
        <v>3.7343999999999999</v>
      </c>
      <c r="K4" s="111">
        <f>K3</f>
        <v>0</v>
      </c>
      <c r="L4" s="4" t="s">
        <v>168</v>
      </c>
      <c r="M4" s="109">
        <f>[1]!b_info_issueamount(L4)/100000000</f>
        <v>5</v>
      </c>
      <c r="N4" s="106" t="str">
        <f>[1]!b_agency_leadunderwriter(L4)</f>
        <v>上海浦东发展银行股份有限公司,中国国际金融股份有限公司</v>
      </c>
      <c r="P4" s="104" t="str">
        <f t="shared" ca="1" si="0"/>
        <v>2019-04-15</v>
      </c>
    </row>
    <row r="5" spans="1:18" ht="15.75" customHeight="1" x14ac:dyDescent="0.25">
      <c r="A5" s="106">
        <f>[1]!b_info_name(L5)</f>
        <v>0</v>
      </c>
      <c r="B5" s="2">
        <f>[1]!b_issue_firstissue(L5)</f>
        <v>0</v>
      </c>
      <c r="C5" s="106">
        <f>[1]!b_info_term(L5)</f>
        <v>0</v>
      </c>
      <c r="D5" s="107">
        <f>[1]!issuerrating(L5)</f>
        <v>0</v>
      </c>
      <c r="E5" s="107">
        <f>[1]!b_info_creditrating(L5)</f>
        <v>0</v>
      </c>
      <c r="F5" s="106">
        <f>[1]!b_rate_creditratingagency(L5)</f>
        <v>0</v>
      </c>
      <c r="G5" s="108">
        <f>[1]!b_agency_guarantor(L5)</f>
        <v>0</v>
      </c>
      <c r="H5" s="109">
        <f>[1]!b_info_couponrate(L5)</f>
        <v>0</v>
      </c>
      <c r="I5" s="65"/>
      <c r="J5" s="110">
        <f ca="1">[1]!b_anal_yield_cnbd(L5,P3,1)</f>
        <v>0</v>
      </c>
      <c r="K5" s="111">
        <f>K3</f>
        <v>0</v>
      </c>
      <c r="L5" s="5"/>
      <c r="M5" s="109">
        <f>[1]!b_info_issueamount(L5)/100000000</f>
        <v>0</v>
      </c>
      <c r="N5" s="106">
        <f>[1]!b_agency_leadunderwriter(L5)</f>
        <v>0</v>
      </c>
      <c r="P5" s="104" t="str">
        <f t="shared" ca="1" si="0"/>
        <v>2019-04-15</v>
      </c>
    </row>
    <row r="6" spans="1:18" ht="15.75" customHeight="1" x14ac:dyDescent="0.25">
      <c r="A6" s="106">
        <f>[1]!b_info_name(L6)</f>
        <v>0</v>
      </c>
      <c r="B6" s="2">
        <f>[1]!b_issue_firstissue(L6)</f>
        <v>0</v>
      </c>
      <c r="C6" s="106">
        <f>[1]!b_info_term(L6)</f>
        <v>0</v>
      </c>
      <c r="D6" s="107">
        <f>[1]!issuerrating(L6)</f>
        <v>0</v>
      </c>
      <c r="E6" s="107">
        <f>[1]!b_info_creditrating(L6)</f>
        <v>0</v>
      </c>
      <c r="F6" s="106">
        <f>[1]!b_rate_creditratingagency(L6)</f>
        <v>0</v>
      </c>
      <c r="G6" s="108">
        <f>[1]!b_agency_guarantor(L6)</f>
        <v>0</v>
      </c>
      <c r="H6" s="109">
        <f>[1]!b_info_couponrate(L6)</f>
        <v>0</v>
      </c>
      <c r="I6" s="65"/>
      <c r="J6" s="110">
        <f ca="1">[1]!b_anal_yield_cnbd(L6,P4,1)</f>
        <v>0</v>
      </c>
      <c r="K6" s="111">
        <f>K3</f>
        <v>0</v>
      </c>
      <c r="L6" s="5"/>
      <c r="M6" s="109">
        <f>[1]!b_info_issueamount(L6)/100000000</f>
        <v>0</v>
      </c>
      <c r="N6" s="106">
        <f>[1]!b_agency_leadunderwriter(L6)</f>
        <v>0</v>
      </c>
      <c r="P6" s="104" t="str">
        <f t="shared" ca="1" si="0"/>
        <v>2019-04-15</v>
      </c>
    </row>
    <row r="7" spans="1:18" ht="15.75" customHeight="1" x14ac:dyDescent="0.25">
      <c r="A7" s="106">
        <f>[1]!b_info_name(L7)</f>
        <v>0</v>
      </c>
      <c r="B7" s="2">
        <f>[1]!b_issue_firstissue(L7)</f>
        <v>0</v>
      </c>
      <c r="C7" s="106">
        <f>[1]!b_info_term(L7)</f>
        <v>0</v>
      </c>
      <c r="D7" s="107">
        <f>[1]!issuerrating(L7)</f>
        <v>0</v>
      </c>
      <c r="E7" s="107">
        <f>[1]!b_info_creditrating(L7)</f>
        <v>0</v>
      </c>
      <c r="F7" s="106">
        <f>[1]!b_rate_creditratingagency(L7)</f>
        <v>0</v>
      </c>
      <c r="G7" s="108">
        <f>[1]!b_agency_guarantor(L7)</f>
        <v>0</v>
      </c>
      <c r="H7" s="109">
        <f>[1]!b_info_couponrate(L7)</f>
        <v>0</v>
      </c>
      <c r="I7" s="65"/>
      <c r="J7" s="110">
        <f ca="1">[1]!b_anal_yield_cnbd(L7,P5,1)</f>
        <v>0</v>
      </c>
      <c r="K7" s="111">
        <f>K3</f>
        <v>0</v>
      </c>
      <c r="L7" s="5"/>
      <c r="M7" s="109">
        <f>[1]!b_info_issueamount(L7)/100000000</f>
        <v>0</v>
      </c>
      <c r="N7" s="106">
        <f>[1]!b_agency_leadunderwriter(L7)</f>
        <v>0</v>
      </c>
      <c r="P7" s="104" t="str">
        <f t="shared" ca="1" si="0"/>
        <v>2019-04-15</v>
      </c>
    </row>
    <row r="8" spans="1:18" ht="15.75" customHeight="1" x14ac:dyDescent="0.25">
      <c r="A8" s="106">
        <f>[1]!b_info_name(L8)</f>
        <v>0</v>
      </c>
      <c r="B8" s="2">
        <f>[1]!b_issue_firstissue(L8)</f>
        <v>0</v>
      </c>
      <c r="C8" s="106">
        <f>[1]!b_info_term(L8)</f>
        <v>0</v>
      </c>
      <c r="D8" s="107">
        <f>[1]!issuerrating(L8)</f>
        <v>0</v>
      </c>
      <c r="E8" s="107">
        <f>[1]!b_info_creditrating(L8)</f>
        <v>0</v>
      </c>
      <c r="F8" s="106">
        <f>[1]!b_rate_creditratingagency(L8)</f>
        <v>0</v>
      </c>
      <c r="G8" s="108">
        <f>[1]!b_agency_guarantor(L8)</f>
        <v>0</v>
      </c>
      <c r="H8" s="109">
        <f>[1]!b_info_couponrate(L8)</f>
        <v>0</v>
      </c>
      <c r="I8" s="65"/>
      <c r="J8" s="110">
        <f ca="1">[1]!b_anal_yield_cnbd(L8,P6,1)</f>
        <v>0</v>
      </c>
      <c r="K8" s="111">
        <f>K3</f>
        <v>0</v>
      </c>
      <c r="L8" s="5"/>
      <c r="M8" s="109">
        <f>[1]!b_info_issueamount(L8)/100000000</f>
        <v>0</v>
      </c>
      <c r="N8" s="106">
        <f>[1]!b_agency_leadunderwriter(L8)</f>
        <v>0</v>
      </c>
      <c r="P8" s="104" t="str">
        <f t="shared" ca="1" si="0"/>
        <v>2019-04-15</v>
      </c>
    </row>
    <row r="9" spans="1:18" ht="15.75" customHeight="1" x14ac:dyDescent="0.25">
      <c r="A9" s="106">
        <f>[1]!b_info_name(L9)</f>
        <v>0</v>
      </c>
      <c r="B9" s="2">
        <f>[1]!b_issue_firstissue(L9)</f>
        <v>0</v>
      </c>
      <c r="C9" s="106">
        <f>[1]!b_info_term(L9)</f>
        <v>0</v>
      </c>
      <c r="D9" s="107">
        <f>[1]!issuerrating(L9)</f>
        <v>0</v>
      </c>
      <c r="E9" s="107">
        <f>[1]!b_info_creditrating(L9)</f>
        <v>0</v>
      </c>
      <c r="F9" s="106">
        <f>[1]!b_rate_creditratingagency(L9)</f>
        <v>0</v>
      </c>
      <c r="G9" s="108">
        <f>[1]!b_agency_guarantor(L9)</f>
        <v>0</v>
      </c>
      <c r="H9" s="109">
        <f>[1]!b_info_couponrate(L9)</f>
        <v>0</v>
      </c>
      <c r="I9" s="65"/>
      <c r="J9" s="110">
        <f ca="1">[1]!b_anal_yield_cnbd(L9,P7,1)</f>
        <v>0</v>
      </c>
      <c r="K9" s="111">
        <f>K3</f>
        <v>0</v>
      </c>
      <c r="L9" s="5"/>
      <c r="M9" s="109">
        <f>[1]!b_info_issueamount(L9)/100000000</f>
        <v>0</v>
      </c>
      <c r="N9" s="106">
        <f>[1]!b_agency_leadunderwriter(L9)</f>
        <v>0</v>
      </c>
      <c r="P9" s="104" t="str">
        <f t="shared" ca="1" si="0"/>
        <v>2019-04-15</v>
      </c>
    </row>
    <row r="10" spans="1:18" x14ac:dyDescent="0.25">
      <c r="P10" s="104" t="str">
        <f t="shared" ca="1" si="0"/>
        <v>2019-04-15</v>
      </c>
    </row>
    <row r="11" spans="1:18" x14ac:dyDescent="0.25">
      <c r="P11" s="104" t="str">
        <f t="shared" ca="1" si="0"/>
        <v>2019-04-15</v>
      </c>
    </row>
    <row r="12" spans="1:18" x14ac:dyDescent="0.25">
      <c r="A12" s="145" t="s">
        <v>169</v>
      </c>
      <c r="B12" s="113"/>
      <c r="C12" s="113"/>
      <c r="D12" s="113"/>
      <c r="E12" s="113"/>
      <c r="F12" s="113"/>
      <c r="G12" s="113"/>
      <c r="H12" s="113"/>
      <c r="I12" s="113"/>
      <c r="J12" s="113"/>
      <c r="K12" s="113"/>
      <c r="L12" s="113"/>
      <c r="M12" s="113"/>
      <c r="N12" s="113"/>
      <c r="P12" s="104" t="str">
        <f t="shared" ca="1" si="0"/>
        <v>2019-04-15</v>
      </c>
    </row>
    <row r="13" spans="1:18" s="1" customFormat="1" ht="43.2" customHeight="1" x14ac:dyDescent="0.25">
      <c r="A13" s="55" t="s">
        <v>155</v>
      </c>
      <c r="B13" s="55" t="s">
        <v>156</v>
      </c>
      <c r="C13" s="55" t="s">
        <v>157</v>
      </c>
      <c r="D13" s="55" t="s">
        <v>158</v>
      </c>
      <c r="E13" s="55" t="s">
        <v>159</v>
      </c>
      <c r="F13" s="55" t="s">
        <v>160</v>
      </c>
      <c r="G13" s="55" t="s">
        <v>161</v>
      </c>
      <c r="H13" s="55" t="s">
        <v>16</v>
      </c>
      <c r="I13" s="55" t="s">
        <v>162</v>
      </c>
      <c r="J13" s="55" t="s">
        <v>163</v>
      </c>
      <c r="K13" s="55" t="s">
        <v>164</v>
      </c>
      <c r="L13" s="55" t="s">
        <v>165</v>
      </c>
      <c r="M13" s="55" t="s">
        <v>19</v>
      </c>
      <c r="N13" s="55" t="s">
        <v>166</v>
      </c>
      <c r="P13" s="104" t="str">
        <f t="shared" ca="1" si="0"/>
        <v>2019-04-15</v>
      </c>
    </row>
    <row r="14" spans="1:18" ht="15.75" customHeight="1" x14ac:dyDescent="0.25">
      <c r="A14" s="106" t="str">
        <f>[1]!b_info_name(L14)</f>
        <v>19渤海汽车MTN001</v>
      </c>
      <c r="B14" s="2" t="str">
        <f>[1]!b_issue_firstissue(L14)</f>
        <v>2019-04-17</v>
      </c>
      <c r="C14" s="106">
        <f>[1]!b_info_term(L14)</f>
        <v>3</v>
      </c>
      <c r="D14" s="107" t="str">
        <f>[1]!issuerrating(L14)</f>
        <v>AA</v>
      </c>
      <c r="E14" s="107" t="str">
        <f>[1]!b_info_creditrating(L14)</f>
        <v>AA</v>
      </c>
      <c r="F14" s="106" t="str">
        <f>[1]!b_rate_creditratingagency(L14)</f>
        <v>中诚信国际信用评级有限责任公司</v>
      </c>
      <c r="G14" s="108">
        <f>[1]!b_agency_guarantor(L14)</f>
        <v>0</v>
      </c>
      <c r="H14" s="109" t="s">
        <v>167</v>
      </c>
      <c r="I14" s="65"/>
      <c r="J14" s="110" t="s">
        <v>167</v>
      </c>
      <c r="K14" s="111">
        <f>K3</f>
        <v>0</v>
      </c>
      <c r="L14" s="42" t="str">
        <f>L3</f>
        <v>q19041502.IB</v>
      </c>
      <c r="M14" s="109" t="s">
        <v>167</v>
      </c>
      <c r="N14" s="106" t="str">
        <f>[1]!b_agency_leadunderwriter(L14)</f>
        <v>中国民生银行股份有限公司,招商银行股份有限公司</v>
      </c>
      <c r="P14" s="104" t="str">
        <f t="shared" ca="1" si="0"/>
        <v>2019-04-15</v>
      </c>
    </row>
    <row r="15" spans="1:18" ht="15.75" customHeight="1" x14ac:dyDescent="0.25">
      <c r="A15" s="106" t="str">
        <f>[1]!b_info_name(L15)</f>
        <v>14康缘CP001</v>
      </c>
      <c r="B15" s="2" t="str">
        <f>[1]!b_issue_firstissue(L15)</f>
        <v>2014-07-10</v>
      </c>
      <c r="C15" s="106">
        <f>[1]!b_info_term(L15)</f>
        <v>1</v>
      </c>
      <c r="D15" s="107" t="str">
        <f>[1]!issuerrating(L15)</f>
        <v>AA-</v>
      </c>
      <c r="E15" s="107" t="str">
        <f>[1]!b_info_creditrating(L15)</f>
        <v>A-1</v>
      </c>
      <c r="F15" s="106" t="str">
        <f>[1]!b_rate_creditratingagency(L15)</f>
        <v>中诚信国际信用评级有限责任公司</v>
      </c>
      <c r="G15" s="108">
        <f>[1]!b_agency_guarantor(L15)</f>
        <v>0</v>
      </c>
      <c r="H15" s="109">
        <f>[1]!b_info_couponrate(L15)</f>
        <v>7.2</v>
      </c>
      <c r="I15" s="65"/>
      <c r="J15" s="110">
        <f ca="1">[1]!b_anal_yield_cnbd(L15,P13,1)</f>
        <v>0</v>
      </c>
      <c r="K15" s="111"/>
      <c r="L15" s="6" t="s">
        <v>170</v>
      </c>
      <c r="M15" s="109">
        <f>[1]!b_info_issueamount(L15)/100000000</f>
        <v>5</v>
      </c>
      <c r="N15" s="106" t="str">
        <f>[1]!b_agency_leadunderwriter(L15)</f>
        <v>招商银行股份有限公司</v>
      </c>
      <c r="O15" t="str">
        <f>[1]!b_issuer_windindustry(L15,4)</f>
        <v>西药</v>
      </c>
      <c r="P15" s="104" t="str">
        <f t="shared" ca="1" si="0"/>
        <v>2019-04-15</v>
      </c>
    </row>
    <row r="16" spans="1:18" ht="15.75" customHeight="1" x14ac:dyDescent="0.25">
      <c r="A16" s="106" t="str">
        <f>[1]!b_info_name(L16)</f>
        <v>14铜陵化工CP001</v>
      </c>
      <c r="B16" s="2" t="str">
        <f>[1]!b_issue_firstissue(L16)</f>
        <v>2014-07-08</v>
      </c>
      <c r="C16" s="106">
        <f>[1]!b_info_term(L16)</f>
        <v>1</v>
      </c>
      <c r="D16" s="107" t="str">
        <f>[1]!issuerrating(L16)</f>
        <v>AA-</v>
      </c>
      <c r="E16" s="107" t="str">
        <f>[1]!b_info_creditrating(L16)</f>
        <v>A-1</v>
      </c>
      <c r="F16" s="106" t="str">
        <f>[1]!b_rate_creditratingagency(L16)</f>
        <v>中诚信国际信用评级有限责任公司</v>
      </c>
      <c r="G16" s="108">
        <f>[1]!b_agency_guarantor(L16)</f>
        <v>0</v>
      </c>
      <c r="H16" s="109">
        <f>[1]!b_info_couponrate(L16)</f>
        <v>6.35</v>
      </c>
      <c r="I16" s="65"/>
      <c r="J16" s="110">
        <f ca="1">[1]!b_anal_yield_cnbd(L16,P14,1)</f>
        <v>0</v>
      </c>
      <c r="K16" s="111"/>
      <c r="L16" s="6" t="s">
        <v>171</v>
      </c>
      <c r="M16" s="109">
        <f>[1]!b_info_issueamount(L16)/100000000</f>
        <v>6</v>
      </c>
      <c r="N16" s="106" t="str">
        <f>[1]!b_agency_leadunderwriter(L16)</f>
        <v>北京银行股份有限公司</v>
      </c>
      <c r="O16" t="str">
        <f>[1]!b_issuer_windindustry(L16,4)</f>
        <v>化肥与农用化工</v>
      </c>
      <c r="P16" s="104" t="str">
        <f t="shared" ca="1" si="0"/>
        <v>2019-04-15</v>
      </c>
    </row>
    <row r="17" spans="1:16" ht="15.75" customHeight="1" x14ac:dyDescent="0.25">
      <c r="A17" s="106" t="str">
        <f>[1]!b_info_name(L17)</f>
        <v>14龙力CP001</v>
      </c>
      <c r="B17" s="2" t="str">
        <f>[1]!b_issue_firstissue(L17)</f>
        <v>2014-06-26</v>
      </c>
      <c r="C17" s="106">
        <f>[1]!b_info_term(L17)</f>
        <v>1</v>
      </c>
      <c r="D17" s="107" t="str">
        <f>[1]!issuerrating(L17)</f>
        <v>AA-</v>
      </c>
      <c r="E17" s="107" t="str">
        <f>[1]!b_info_creditrating(L17)</f>
        <v>A-1</v>
      </c>
      <c r="F17" s="106" t="str">
        <f>[1]!b_rate_creditratingagency(L17)</f>
        <v>上海新世纪资信评估投资服务有限公司</v>
      </c>
      <c r="G17" s="108">
        <f>[1]!b_agency_guarantor(L17)</f>
        <v>0</v>
      </c>
      <c r="H17" s="109">
        <f>[1]!b_info_couponrate(L17)</f>
        <v>6.5</v>
      </c>
      <c r="I17" s="65"/>
      <c r="J17" s="110">
        <f ca="1">[1]!b_anal_yield_cnbd(L17,P15,1)</f>
        <v>0</v>
      </c>
      <c r="K17" s="111"/>
      <c r="L17" s="6" t="s">
        <v>172</v>
      </c>
      <c r="M17" s="109">
        <f>[1]!b_info_issueamount(L17)/100000000</f>
        <v>3.5</v>
      </c>
      <c r="N17" s="106" t="str">
        <f>[1]!b_agency_leadunderwriter(L17)</f>
        <v>华夏银行股份有限公司</v>
      </c>
      <c r="O17" t="str">
        <f>[1]!b_issuer_windindustry(L17,4)</f>
        <v>食品加工与肉类</v>
      </c>
      <c r="P17" s="104" t="str">
        <f t="shared" ca="1" si="0"/>
        <v>2019-04-15</v>
      </c>
    </row>
    <row r="18" spans="1:16" ht="15.75" customHeight="1" x14ac:dyDescent="0.25">
      <c r="A18" s="106" t="str">
        <f>[1]!b_info_name(L18)</f>
        <v>14新城建CP001</v>
      </c>
      <c r="B18" s="2" t="str">
        <f>[1]!b_issue_firstissue(L18)</f>
        <v>2014-06-25</v>
      </c>
      <c r="C18" s="106">
        <f>[1]!b_info_term(L18)</f>
        <v>1</v>
      </c>
      <c r="D18" s="107" t="str">
        <f>[1]!issuerrating(L18)</f>
        <v>AA-</v>
      </c>
      <c r="E18" s="107" t="str">
        <f>[1]!b_info_creditrating(L18)</f>
        <v>A-1</v>
      </c>
      <c r="F18" s="106" t="str">
        <f>[1]!b_rate_creditratingagency(L18)</f>
        <v>上海新世纪资信评估投资服务有限公司</v>
      </c>
      <c r="G18" s="108">
        <f>[1]!b_agency_guarantor(L18)</f>
        <v>0</v>
      </c>
      <c r="H18" s="109">
        <f>[1]!b_info_couponrate(L18)</f>
        <v>6.4</v>
      </c>
      <c r="I18" s="65"/>
      <c r="J18" s="110">
        <f ca="1">[1]!b_anal_yield_cnbd(L18,P16,1)</f>
        <v>0</v>
      </c>
      <c r="K18" s="111"/>
      <c r="L18" s="6" t="s">
        <v>173</v>
      </c>
      <c r="M18" s="109">
        <f>[1]!b_info_issueamount(L18)/100000000</f>
        <v>3</v>
      </c>
      <c r="N18" s="106" t="str">
        <f>[1]!b_agency_leadunderwriter(L18)</f>
        <v>兴业银行股份有限公司</v>
      </c>
      <c r="O18" t="str">
        <f>[1]!b_issuer_windindustry(L18,4)</f>
        <v>工业机械</v>
      </c>
      <c r="P18" s="104" t="str">
        <f t="shared" ca="1" si="0"/>
        <v>2019-04-15</v>
      </c>
    </row>
    <row r="19" spans="1:16" ht="15.75" customHeight="1" x14ac:dyDescent="0.25">
      <c r="A19" s="106" t="str">
        <f>[1]!b_info_name(L19)</f>
        <v>14长电科技CP001</v>
      </c>
      <c r="B19" s="2" t="str">
        <f>[1]!b_issue_firstissue(L19)</f>
        <v>2014-06-19</v>
      </c>
      <c r="C19" s="106">
        <f>[1]!b_info_term(L19)</f>
        <v>1</v>
      </c>
      <c r="D19" s="107" t="str">
        <f>[1]!issuerrating(L19)</f>
        <v>AA-</v>
      </c>
      <c r="E19" s="107" t="str">
        <f>[1]!b_info_creditrating(L19)</f>
        <v>A-1</v>
      </c>
      <c r="F19" s="106" t="str">
        <f>[1]!b_rate_creditratingagency(L19)</f>
        <v>联合资信评估有限公司</v>
      </c>
      <c r="G19" s="108">
        <f>[1]!b_agency_guarantor(L19)</f>
        <v>0</v>
      </c>
      <c r="H19" s="109">
        <f>[1]!b_info_couponrate(L19)</f>
        <v>6.5</v>
      </c>
      <c r="I19" s="65"/>
      <c r="J19" s="110">
        <f ca="1">[1]!b_anal_yield_cnbd(L19,P17,1)</f>
        <v>0</v>
      </c>
      <c r="K19" s="111"/>
      <c r="L19" s="6" t="s">
        <v>174</v>
      </c>
      <c r="M19" s="109">
        <f>[1]!b_info_issueamount(L19)/100000000</f>
        <v>3</v>
      </c>
      <c r="N19" s="106" t="str">
        <f>[1]!b_agency_leadunderwriter(L19)</f>
        <v>中国银行股份有限公司</v>
      </c>
      <c r="O19" t="str">
        <f>[1]!b_issuer_windindustry(L19,4)</f>
        <v>半导体产品</v>
      </c>
      <c r="P19" s="104" t="str">
        <f t="shared" ca="1" si="0"/>
        <v>2019-04-15</v>
      </c>
    </row>
    <row r="20" spans="1:16" ht="15.75" customHeight="1" x14ac:dyDescent="0.25">
      <c r="A20" s="106" t="str">
        <f>[1]!b_info_name(L20)</f>
        <v>14东阳光CP002</v>
      </c>
      <c r="B20" s="2" t="str">
        <f>[1]!b_issue_firstissue(L20)</f>
        <v>2014-06-13</v>
      </c>
      <c r="C20" s="106">
        <f>[1]!b_info_term(L20)</f>
        <v>1</v>
      </c>
      <c r="D20" s="107" t="str">
        <f>[1]!issuerrating(L20)</f>
        <v>AA-</v>
      </c>
      <c r="E20" s="107" t="str">
        <f>[1]!b_info_creditrating(L20)</f>
        <v>A-1</v>
      </c>
      <c r="F20" s="106" t="str">
        <f>[1]!b_rate_creditratingagency(L20)</f>
        <v>联合资信评估有限公司</v>
      </c>
      <c r="G20" s="108">
        <f>[1]!b_agency_guarantor(L20)</f>
        <v>0</v>
      </c>
      <c r="H20" s="109">
        <f>[1]!b_info_couponrate(L20)</f>
        <v>6.95</v>
      </c>
      <c r="I20" s="65"/>
      <c r="J20" s="110">
        <f ca="1">[1]!b_anal_yield_cnbd(L20,P18,1)</f>
        <v>0</v>
      </c>
      <c r="K20" s="111"/>
      <c r="L20" s="6" t="s">
        <v>175</v>
      </c>
      <c r="M20" s="109">
        <f>[1]!b_info_issueamount(L20)/100000000</f>
        <v>5</v>
      </c>
      <c r="N20" s="106" t="str">
        <f>[1]!b_agency_leadunderwriter(L20)</f>
        <v>中国银行股份有限公司</v>
      </c>
      <c r="O20" t="str">
        <f>[1]!b_issuer_windindustry(L20,4)</f>
        <v>医疗保健用品</v>
      </c>
      <c r="P20" s="104" t="str">
        <f t="shared" ca="1" si="0"/>
        <v>2019-04-15</v>
      </c>
    </row>
    <row r="21" spans="1:16" ht="15.75" customHeight="1" x14ac:dyDescent="0.25">
      <c r="A21" s="106" t="str">
        <f>[1]!b_info_name(L21)</f>
        <v>14中澳控CP001</v>
      </c>
      <c r="B21" s="2" t="str">
        <f>[1]!b_issue_firstissue(L21)</f>
        <v>2014-06-10</v>
      </c>
      <c r="C21" s="106">
        <f>[1]!b_info_term(L21)</f>
        <v>1</v>
      </c>
      <c r="D21" s="107" t="str">
        <f>[1]!issuerrating(L21)</f>
        <v>AA-</v>
      </c>
      <c r="E21" s="107" t="str">
        <f>[1]!b_info_creditrating(L21)</f>
        <v>A-1</v>
      </c>
      <c r="F21" s="106" t="str">
        <f>[1]!b_rate_creditratingagency(L21)</f>
        <v>中诚信国际信用评级有限责任公司</v>
      </c>
      <c r="G21" s="108">
        <f>[1]!b_agency_guarantor(L21)</f>
        <v>0</v>
      </c>
      <c r="H21" s="109">
        <f>[1]!b_info_couponrate(L21)</f>
        <v>7.39</v>
      </c>
      <c r="I21" s="65"/>
      <c r="J21" s="110">
        <f ca="1">[1]!b_anal_yield_cnbd(L21,P19,1)</f>
        <v>0</v>
      </c>
      <c r="K21" s="111"/>
      <c r="L21" s="6" t="s">
        <v>176</v>
      </c>
      <c r="M21" s="109">
        <f>[1]!b_info_issueamount(L21)/100000000</f>
        <v>2</v>
      </c>
      <c r="N21" s="106" t="str">
        <f>[1]!b_agency_leadunderwriter(L21)</f>
        <v>中国银行股份有限公司</v>
      </c>
      <c r="O21" t="str">
        <f>[1]!b_issuer_windindustry(L21,4)</f>
        <v>食品加工与肉类</v>
      </c>
      <c r="P21" s="104" t="str">
        <f t="shared" ca="1" si="0"/>
        <v>2019-04-15</v>
      </c>
    </row>
    <row r="22" spans="1:16" ht="15.75" customHeight="1" x14ac:dyDescent="0.25">
      <c r="A22" s="106" t="str">
        <f>[1]!b_info_name(L22)</f>
        <v>14杭州宋城CP001</v>
      </c>
      <c r="B22" s="2" t="str">
        <f>[1]!b_issue_firstissue(L22)</f>
        <v>2014-06-03</v>
      </c>
      <c r="C22" s="106">
        <f>[1]!b_info_term(L22)</f>
        <v>1</v>
      </c>
      <c r="D22" s="107" t="str">
        <f>[1]!issuerrating(L22)</f>
        <v>AA-</v>
      </c>
      <c r="E22" s="107" t="str">
        <f>[1]!b_info_creditrating(L22)</f>
        <v>A-1</v>
      </c>
      <c r="F22" s="106" t="str">
        <f>[1]!b_rate_creditratingagency(L22)</f>
        <v>中诚信国际信用评级有限责任公司</v>
      </c>
      <c r="G22" s="108">
        <f>[1]!b_agency_guarantor(L22)</f>
        <v>0</v>
      </c>
      <c r="H22" s="109">
        <f>[1]!b_info_couponrate(L22)</f>
        <v>7.5</v>
      </c>
      <c r="I22" s="65"/>
      <c r="J22" s="110">
        <f ca="1">[1]!b_anal_yield_cnbd(L22,P20,1)</f>
        <v>0</v>
      </c>
      <c r="K22" s="111"/>
      <c r="L22" s="6" t="s">
        <v>177</v>
      </c>
      <c r="M22" s="109">
        <f>[1]!b_info_issueamount(L22)/100000000</f>
        <v>4</v>
      </c>
      <c r="N22" s="106" t="str">
        <f>[1]!b_agency_leadunderwriter(L22)</f>
        <v>中国工商银行股份有限公司</v>
      </c>
      <c r="O22" t="str">
        <f>[1]!b_issuer_windindustry(L22,4)</f>
        <v>酒店、度假村与豪华游轮</v>
      </c>
      <c r="P22" s="104" t="str">
        <f t="shared" ca="1" si="0"/>
        <v>2019-04-15</v>
      </c>
    </row>
    <row r="23" spans="1:16" ht="15.75" customHeight="1" x14ac:dyDescent="0.25">
      <c r="A23" s="106" t="str">
        <f>[1]!b_info_name(L23)</f>
        <v>14晟晏CP001</v>
      </c>
      <c r="B23" s="2" t="str">
        <f>[1]!b_issue_firstissue(L23)</f>
        <v>2014-05-22</v>
      </c>
      <c r="C23" s="106">
        <f>[1]!b_info_term(L23)</f>
        <v>1</v>
      </c>
      <c r="D23" s="107" t="str">
        <f>[1]!issuerrating(L23)</f>
        <v>AA-</v>
      </c>
      <c r="E23" s="107" t="str">
        <f>[1]!b_info_creditrating(L23)</f>
        <v>A-1</v>
      </c>
      <c r="F23" s="106" t="str">
        <f>[1]!b_rate_creditratingagency(L23)</f>
        <v>大公国际资信评估有限公司</v>
      </c>
      <c r="G23" s="108">
        <f>[1]!b_agency_guarantor(L23)</f>
        <v>0</v>
      </c>
      <c r="H23" s="109">
        <f>[1]!b_info_couponrate(L23)</f>
        <v>7.3</v>
      </c>
      <c r="I23" s="65"/>
      <c r="J23" s="110">
        <f ca="1">[1]!b_anal_yield_cnbd(L23,P21,1)</f>
        <v>0</v>
      </c>
      <c r="K23" s="111"/>
      <c r="L23" s="6" t="s">
        <v>178</v>
      </c>
      <c r="M23" s="109">
        <f>[1]!b_info_issueamount(L23)/100000000</f>
        <v>4</v>
      </c>
      <c r="N23" s="106" t="str">
        <f>[1]!b_agency_leadunderwriter(L23)</f>
        <v>中国银行股份有限公司</v>
      </c>
      <c r="O23" t="str">
        <f>[1]!b_issuer_windindustry(L23,4)</f>
        <v>金属非金属</v>
      </c>
      <c r="P23" s="104" t="str">
        <f t="shared" ca="1" si="0"/>
        <v>2019-04-15</v>
      </c>
    </row>
    <row r="24" spans="1:16" x14ac:dyDescent="0.25">
      <c r="P24" s="104" t="str">
        <f t="shared" ca="1" si="0"/>
        <v>2019-04-15</v>
      </c>
    </row>
    <row r="25" spans="1:16" x14ac:dyDescent="0.25">
      <c r="P25" s="104" t="str">
        <f t="shared" ca="1" si="0"/>
        <v>2019-04-15</v>
      </c>
    </row>
    <row r="26" spans="1:16" x14ac:dyDescent="0.25">
      <c r="P26" s="104" t="str">
        <f t="shared" ca="1" si="0"/>
        <v>2019-04-15</v>
      </c>
    </row>
    <row r="27" spans="1:16" x14ac:dyDescent="0.25">
      <c r="P27" s="104" t="str">
        <f t="shared" ca="1" si="0"/>
        <v>2019-04-15</v>
      </c>
    </row>
    <row r="28" spans="1:16" x14ac:dyDescent="0.25">
      <c r="P28" s="104" t="str">
        <f t="shared" ca="1" si="0"/>
        <v>2019-04-15</v>
      </c>
    </row>
    <row r="29" spans="1:16" x14ac:dyDescent="0.25">
      <c r="P29" s="104" t="str">
        <f t="shared" ca="1" si="0"/>
        <v>2019-04-15</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2019-04-16T08:13:18Z</dcterms:modified>
</cp:coreProperties>
</file>