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AF44C36F-EBA9-4A8E-ADE3-D0E62E73AC66}"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O23" i="6"/>
  <c r="F21" i="6"/>
  <c r="C20" i="6"/>
  <c r="M17" i="6"/>
  <c r="G16" i="6"/>
  <c r="D15" i="6"/>
  <c r="C14" i="6"/>
  <c r="H9" i="6"/>
  <c r="F7" i="6"/>
  <c r="G6" i="6"/>
  <c r="H5"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H23" i="6"/>
  <c r="E22" i="6"/>
  <c r="B21" i="6"/>
  <c r="O19" i="6"/>
  <c r="F17" i="6"/>
  <c r="C16" i="6"/>
  <c r="D9" i="6"/>
  <c r="E8" i="6"/>
  <c r="B7" i="6"/>
  <c r="C6" i="6"/>
  <c r="D5" i="6"/>
  <c r="E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D23" i="6"/>
  <c r="E18" i="6"/>
  <c r="N9" i="6"/>
  <c r="A8" i="6"/>
  <c r="N5" i="6"/>
  <c r="A4" i="6"/>
  <c r="M140" i="1"/>
  <c r="O133" i="1"/>
  <c r="O129" i="1"/>
  <c r="C102" i="1"/>
  <c r="R100" i="1"/>
  <c r="P99" i="1"/>
  <c r="N98" i="1"/>
  <c r="L97" i="1"/>
  <c r="G96" i="1"/>
  <c r="C94" i="1"/>
  <c r="E91" i="1"/>
  <c r="G88"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G16" i="1"/>
  <c r="C16" i="1"/>
  <c r="P15" i="1"/>
  <c r="L15" i="1"/>
  <c r="E15" i="1"/>
  <c r="G14" i="1"/>
  <c r="C14" i="1"/>
  <c r="F10" i="1"/>
  <c r="F8" i="1"/>
  <c r="B6" i="1"/>
  <c r="B4" i="1"/>
  <c r="F27" i="1"/>
  <c r="O26" i="1"/>
  <c r="D26" i="1"/>
  <c r="A22" i="6"/>
  <c r="B17" i="6"/>
  <c r="M138" i="1"/>
  <c r="M132" i="1"/>
  <c r="S128" i="1"/>
  <c r="S109" i="1"/>
  <c r="R103" i="1"/>
  <c r="P101" i="1"/>
  <c r="N100" i="1"/>
  <c r="L99" i="1"/>
  <c r="G98" i="1"/>
  <c r="E97" i="1"/>
  <c r="C96" i="1"/>
  <c r="E93" i="1"/>
  <c r="G90" i="1"/>
  <c r="C88"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B27" i="1"/>
  <c r="J26" i="1"/>
  <c r="N20" i="6"/>
  <c r="O15" i="6"/>
  <c r="M6" i="6"/>
  <c r="M136" i="1"/>
  <c r="S111" i="1"/>
  <c r="D109" i="1"/>
  <c r="N103" i="1"/>
  <c r="L101" i="1"/>
  <c r="G100" i="1"/>
  <c r="E99" i="1"/>
  <c r="C98" i="1"/>
  <c r="R96" i="1"/>
  <c r="E95" i="1"/>
  <c r="G92" i="1"/>
  <c r="C90"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E16" i="1"/>
  <c r="R15" i="1"/>
  <c r="N15" i="1"/>
  <c r="G15" i="1"/>
  <c r="C15" i="1"/>
  <c r="E14" i="1"/>
  <c r="F11" i="1"/>
  <c r="F9" i="1"/>
  <c r="F7" i="1"/>
  <c r="B5" i="1"/>
  <c r="H19" i="6"/>
  <c r="M130" i="1"/>
  <c r="D111" i="1"/>
  <c r="E101" i="1"/>
  <c r="N96" i="1"/>
  <c r="D87" i="1"/>
  <c r="F84" i="1"/>
  <c r="B82" i="1"/>
  <c r="D79" i="1"/>
  <c r="F76" i="1"/>
  <c r="B74" i="1"/>
  <c r="D71" i="1"/>
  <c r="F68" i="1"/>
  <c r="B66" i="1"/>
  <c r="D63" i="1"/>
  <c r="F60" i="1"/>
  <c r="B58" i="1"/>
  <c r="D55" i="1"/>
  <c r="F52" i="1"/>
  <c r="B50" i="1"/>
  <c r="D47" i="1"/>
  <c r="F44" i="1"/>
  <c r="B42" i="1"/>
  <c r="D39" i="1"/>
  <c r="F36" i="1"/>
  <c r="B34" i="1"/>
  <c r="D31" i="1"/>
  <c r="J29" i="1"/>
  <c r="F28" i="1"/>
  <c r="D27" i="1"/>
  <c r="B26" i="1"/>
  <c r="J25" i="1"/>
  <c r="Q24" i="1"/>
  <c r="F24" i="1"/>
  <c r="O23" i="1"/>
  <c r="D23" i="1"/>
  <c r="B22" i="1"/>
  <c r="J21" i="1"/>
  <c r="Q20" i="1"/>
  <c r="F20" i="1"/>
  <c r="O19" i="1"/>
  <c r="D19" i="1"/>
  <c r="B18" i="1"/>
  <c r="J17" i="1"/>
  <c r="Q16" i="1"/>
  <c r="D16" i="1"/>
  <c r="M15" i="1"/>
  <c r="B15" i="1"/>
  <c r="B11" i="1"/>
  <c r="B7" i="1"/>
  <c r="B80" i="1"/>
  <c r="B56" i="1"/>
  <c r="F42" i="1"/>
  <c r="F34" i="1"/>
  <c r="M28" i="1"/>
  <c r="M25" i="1"/>
  <c r="F23" i="1"/>
  <c r="B21" i="1"/>
  <c r="F19" i="1"/>
  <c r="D18" i="1"/>
  <c r="F16" i="1"/>
  <c r="C100" i="1"/>
  <c r="G94" i="1"/>
  <c r="F86" i="1"/>
  <c r="B84" i="1"/>
  <c r="D81" i="1"/>
  <c r="F78" i="1"/>
  <c r="B76" i="1"/>
  <c r="D73" i="1"/>
  <c r="F70" i="1"/>
  <c r="B68" i="1"/>
  <c r="D65" i="1"/>
  <c r="F62" i="1"/>
  <c r="B60" i="1"/>
  <c r="D57" i="1"/>
  <c r="F54" i="1"/>
  <c r="B52" i="1"/>
  <c r="D49" i="1"/>
  <c r="F46" i="1"/>
  <c r="B44" i="1"/>
  <c r="D41" i="1"/>
  <c r="F38" i="1"/>
  <c r="B36" i="1"/>
  <c r="D33" i="1"/>
  <c r="F30" i="1"/>
  <c r="D29" i="1"/>
  <c r="B28" i="1"/>
  <c r="Q26" i="1"/>
  <c r="Q25" i="1"/>
  <c r="F25" i="1"/>
  <c r="O24" i="1"/>
  <c r="D24" i="1"/>
  <c r="M23" i="1"/>
  <c r="B23" i="1"/>
  <c r="Q21" i="1"/>
  <c r="F21" i="1"/>
  <c r="O20" i="1"/>
  <c r="D20" i="1"/>
  <c r="M19" i="1"/>
  <c r="B19" i="1"/>
  <c r="Q17" i="1"/>
  <c r="F17" i="1"/>
  <c r="O16" i="1"/>
  <c r="B16" i="1"/>
  <c r="J15" i="1"/>
  <c r="F14" i="1"/>
  <c r="B10" i="1"/>
  <c r="E5" i="1"/>
  <c r="B9" i="1"/>
  <c r="G102" i="1"/>
  <c r="E89" i="1"/>
  <c r="D85" i="1"/>
  <c r="F74" i="1"/>
  <c r="D69" i="1"/>
  <c r="B64" i="1"/>
  <c r="F58" i="1"/>
  <c r="F50" i="1"/>
  <c r="D45" i="1"/>
  <c r="D37" i="1"/>
  <c r="O29" i="1"/>
  <c r="F26" i="1"/>
  <c r="J24" i="1"/>
  <c r="M21" i="1"/>
  <c r="Q19" i="1"/>
  <c r="B17" i="1"/>
  <c r="D15" i="1"/>
  <c r="B8" i="1"/>
  <c r="R98" i="1"/>
  <c r="C92" i="1"/>
  <c r="B86" i="1"/>
  <c r="D83" i="1"/>
  <c r="F80" i="1"/>
  <c r="B78" i="1"/>
  <c r="D75" i="1"/>
  <c r="F72" i="1"/>
  <c r="B70" i="1"/>
  <c r="D67" i="1"/>
  <c r="F64" i="1"/>
  <c r="B62" i="1"/>
  <c r="D59" i="1"/>
  <c r="F56" i="1"/>
  <c r="B54" i="1"/>
  <c r="D51" i="1"/>
  <c r="F48" i="1"/>
  <c r="B46" i="1"/>
  <c r="D43" i="1"/>
  <c r="F40" i="1"/>
  <c r="B38" i="1"/>
  <c r="D35" i="1"/>
  <c r="F32" i="1"/>
  <c r="B30" i="1"/>
  <c r="Q28" i="1"/>
  <c r="O27" i="1"/>
  <c r="M26" i="1"/>
  <c r="O25" i="1"/>
  <c r="D25" i="1"/>
  <c r="M24" i="1"/>
  <c r="B24" i="1"/>
  <c r="J23" i="1"/>
  <c r="F22" i="1"/>
  <c r="O21" i="1"/>
  <c r="D21" i="1"/>
  <c r="M20" i="1"/>
  <c r="B20" i="1"/>
  <c r="J19" i="1"/>
  <c r="F18" i="1"/>
  <c r="O17" i="1"/>
  <c r="D17" i="1"/>
  <c r="J16" i="1"/>
  <c r="Q15" i="1"/>
  <c r="F15" i="1"/>
  <c r="D14" i="1"/>
  <c r="E4" i="1"/>
  <c r="S134" i="1"/>
  <c r="P97" i="1"/>
  <c r="F82" i="1"/>
  <c r="D77" i="1"/>
  <c r="B72" i="1"/>
  <c r="F66" i="1"/>
  <c r="D61" i="1"/>
  <c r="D53" i="1"/>
  <c r="B48" i="1"/>
  <c r="B40" i="1"/>
  <c r="B32" i="1"/>
  <c r="J27" i="1"/>
  <c r="B25" i="1"/>
  <c r="Q23" i="1"/>
  <c r="D22" i="1"/>
  <c r="J20" i="1"/>
  <c r="M17" i="1"/>
  <c r="O15" i="1"/>
  <c r="B14" i="1"/>
  <c r="H124" i="1" l="1"/>
  <c r="N22" i="1"/>
  <c r="B120" i="1"/>
  <c r="R22" i="1"/>
  <c r="H111" i="1"/>
  <c r="B126" i="1"/>
  <c r="H109" i="1"/>
  <c r="H118" i="1"/>
  <c r="B122" i="1"/>
  <c r="B128" i="1"/>
  <c r="D119" i="1"/>
  <c r="D123"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6" i="6"/>
  <c r="J9" i="6"/>
  <c r="J22" i="6"/>
  <c r="J15" i="6"/>
  <c r="J19" i="6"/>
  <c r="J21" i="6"/>
  <c r="J23" i="6"/>
  <c r="J5" i="6"/>
  <c r="J18" i="6"/>
  <c r="J20" i="6"/>
  <c r="J6" i="6"/>
  <c r="J7" i="6"/>
</calcChain>
</file>

<file path=xl/sharedStrings.xml><?xml version="1.0" encoding="utf-8"?>
<sst xmlns="http://schemas.openxmlformats.org/spreadsheetml/2006/main" count="537" uniqueCount="214">
  <si>
    <t>d19041609.IB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</si>
  <si>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</si>
  <si>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</si>
  <si>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</si>
  <si>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</si>
  <si>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</si>
  <si>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</si>
  <si>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</si>
  <si>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</si>
  <si>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</si>
  <si>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</si>
  <si>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</si>
  <si>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</si>
  <si>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</si>
  <si>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</si>
  <si>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</si>
  <si>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</si>
  <si>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</si>
  <si>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</si>
  <si>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</si>
  <si>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</si>
  <si>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</si>
  <si>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</si>
  <si>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041551015.IB</t>
  </si>
  <si>
    <t>主体级别</t>
  </si>
  <si>
    <t>AAA</t>
  </si>
  <si>
    <t>041361052.IB</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</si>
  <si>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</si>
  <si>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</si>
  <si>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</si>
  <si>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</si>
  <si>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</si>
  <si>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</si>
  <si>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</si>
  <si>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</si>
  <si>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</si>
  <si>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</si>
  <si>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</si>
  <si>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</si>
  <si>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</si>
  <si>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</si>
  <si>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</si>
  <si>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</si>
  <si>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</si>
  <si>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</si>
  <si>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</si>
  <si>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</si>
  <si>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</si>
  <si>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</si>
  <si>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</si>
  <si>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</si>
  <si>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</si>
  <si>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</si>
  <si>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</si>
  <si>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</si>
  <si>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</si>
  <si>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</si>
  <si>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</si>
  <si>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</si>
  <si>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</si>
  <si>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</si>
  <si>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</si>
  <si>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</si>
  <si>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</si>
  <si>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</si>
  <si>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</si>
  <si>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</si>
  <si>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</si>
  <si>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</si>
  <si>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</si>
  <si>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</si>
  <si>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</si>
  <si>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</si>
  <si>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</si>
  <si>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</si>
  <si>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</si>
  <si>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</si>
  <si>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</si>
  <si>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</si>
  <si>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</si>
  <si>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</si>
  <si>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</si>
  <si>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</si>
  <si>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</si>
  <si>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</si>
  <si>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</si>
  <si>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</si>
  <si>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</si>
  <si>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</si>
  <si>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</si>
  <si>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</si>
  <si>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</si>
  <si>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</si>
  <si>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</si>
  <si>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</si>
  <si>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</si>
  <si>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</si>
  <si>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</si>
  <si>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</si>
  <si>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</si>
  <si>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</si>
  <si>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</si>
  <si>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</si>
  <si>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</si>
  <si>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</si>
  <si>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</si>
  <si>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</si>
  <si>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</si>
  <si>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</si>
  <si>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</si>
  <si>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</si>
  <si>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</si>
  <si>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</si>
  <si>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</si>
  <si>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</si>
  <si>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</si>
  <si>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011801572.IB</t>
  </si>
  <si>
    <t>20180817</t>
  </si>
  <si>
    <t>18王府井集SCP001</t>
  </si>
  <si>
    <t>101800916.IB</t>
  </si>
  <si>
    <t>18王府井集MTN001</t>
  </si>
  <si>
    <t>122189.SH</t>
  </si>
  <si>
    <t>20121024</t>
  </si>
  <si>
    <t>12王府01</t>
  </si>
  <si>
    <t>122190.SH</t>
  </si>
  <si>
    <t>12王府02</t>
  </si>
  <si>
    <t>110008.SH</t>
  </si>
  <si>
    <t>20091019</t>
  </si>
  <si>
    <t>王府转债(退市)</t>
  </si>
  <si>
    <t>历史主体评级</t>
  </si>
  <si>
    <t>发布日期</t>
  </si>
  <si>
    <t>主体资信级别</t>
  </si>
  <si>
    <t>评级展望</t>
  </si>
  <si>
    <t>评级机构</t>
  </si>
  <si>
    <t>20180709</t>
  </si>
  <si>
    <t>稳定</t>
  </si>
  <si>
    <t>上海新世纪资信评估投资服务有限公司</t>
  </si>
  <si>
    <t>20180423</t>
  </si>
  <si>
    <t>20170417</t>
  </si>
  <si>
    <t>20160425</t>
  </si>
  <si>
    <t>AA+</t>
  </si>
  <si>
    <t>20150416</t>
  </si>
  <si>
    <t>20140421</t>
  </si>
  <si>
    <t>20130419</t>
  </si>
  <si>
    <t>20120816</t>
  </si>
  <si>
    <t>20100722</t>
  </si>
  <si>
    <t>AA</t>
  </si>
  <si>
    <t>鹏元资信评估有限公司</t>
  </si>
  <si>
    <t>20090422</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</si>
  <si>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</si>
  <si>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</si>
  <si>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</si>
  <si>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</si>
  <si>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</si>
  <si>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</si>
  <si>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</si>
  <si>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</si>
  <si>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</si>
  <si>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</si>
  <si>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苏宁电器集团有限公司</t>
  </si>
  <si>
    <t>AA+稳定上调至AAA稳定</t>
  </si>
  <si>
    <t>联合信用评级有限公司</t>
  </si>
  <si>
    <t>我爱我家控股集团股份有限公司</t>
  </si>
  <si>
    <t>AA-稳定上调至AA稳定</t>
  </si>
  <si>
    <t>中诚信国际信用评级有限责任公司</t>
  </si>
  <si>
    <t>2017年以来，公司以发行股份及支付现金的方式购买了北京我爱我家地产经纪，总资产规模同比大幅增长，我爱我家地产经纪一直保持领先的行业地位，门店规模不断扩大；受益于发行股票，公司资本实力显著提升且非受限货币能覆盖短期债务；同时公司继续保持较高的自有物业比例，百货门店地理位置优越。</t>
  </si>
  <si>
    <t>近一年来同行业发债企业主体评级下调情况</t>
  </si>
  <si>
    <t>主体资信级别下调</t>
  </si>
  <si>
    <t>主体评级展望下调</t>
  </si>
  <si>
    <t>三胞集团有限公司</t>
  </si>
  <si>
    <t>A负面下调至BB负面</t>
  </si>
  <si>
    <t>中证鹏元资信评估股份有限公司</t>
  </si>
  <si>
    <t>公司部分资产被冻结，流动性压力进一步加大</t>
  </si>
  <si>
    <t>江苏宏图高科技股份有限公司</t>
  </si>
  <si>
    <t>BBB-下调至C</t>
  </si>
  <si>
    <t xml:space="preserve">由于公司受到控股股东三胞集团流动性风险的影响， 以及为化解三胞集团债务风险而成立的债委会统筹安排三胞集团及其下属企业的投融资，导致公司未能按时足额兑付“ 巧宏图MTN001 ”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</si>
  <si>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</si>
  <si>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</si>
  <si>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</si>
  <si>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</si>
  <si>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</si>
  <si>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</si>
  <si>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</si>
  <si>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</si>
  <si>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</si>
  <si>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</si>
  <si>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</si>
  <si>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</si>
  <si>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</si>
  <si>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</si>
  <si>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</si>
  <si>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</si>
  <si>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</si>
  <si>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</si>
  <si>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</si>
  <si>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</si>
  <si>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</si>
  <si>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</si>
  <si>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</si>
  <si>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</si>
  <si>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</si>
  <si>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王府井集团股份有限公司</t>
  </si>
  <si>
    <t>地方国有企业</t>
  </si>
  <si>
    <t>可选消费--零售业--多元化零售--百货商店</t>
  </si>
  <si>
    <t>北京市王府井大街255号</t>
  </si>
  <si>
    <t>公司是一家专注于百货业态的全国性连锁零售企业。前身是享誉中外的新中国第一店---北京市百货大楼，创立于1955年。公司紧紧围绕“提升、发展”两大主题，在全国积极推进百货连锁发展，在华北、华南、西南等区域已开设了多家百货门店，初步完成了主业连锁的战略布局，在竞争中取得了相对的优势地位。公司目前已是国家商务部重点扶持的大型流通企业，市场影响力日益扩大，综合实力稳步提升。2017年公司通过重大资产重组,承继及承接王府井国际的全部资产、负债、合同及其他一切权利与义务,有助于减少上市公司持股的中间层级，有助于进一步提高上市公司的决策效率、优化公司治理结构。</t>
  </si>
  <si>
    <t>北京王府井东安集团有限责任公司</t>
  </si>
  <si>
    <t>三胞集团南京投资管理有限公司</t>
  </si>
  <si>
    <t>北京京国瑞国企改革发展基金(有限合伙)</t>
  </si>
  <si>
    <t>福海国盛(天津)股权投资合伙企业(有限合伙)</t>
  </si>
  <si>
    <t>北京信升创卓投资管理中心(有限合伙)</t>
  </si>
  <si>
    <t>百联集团有限公司</t>
  </si>
  <si>
    <t>杭州市商贸旅游集团有限公司</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</si>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</sst>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王府井集团股份有限公司</v>
      </c>
      <c r="C4" s="120"/>
      <c r="D4" s="57" t="s">
        <v>3</v>
      </c>
      <c r="E4" s="119" t="str">
        <f>[1]!s_info_nature(A2)</f>
        <v>地方国有企业</v>
      </c>
      <c r="F4" s="120"/>
      <c r="G4" s="120"/>
      <c r="H4" s="19"/>
    </row>
    <row r="5" spans="1:20" s="17" customFormat="1" ht="14.25" customHeight="1" x14ac:dyDescent="0.25">
      <c r="A5" s="57" t="s">
        <v>4</v>
      </c>
      <c r="B5" s="119" t="str">
        <f>[1]!b_issuer_windindustry(A2,9)</f>
        <v>可选消费--零售业--多元化零售--百货商店</v>
      </c>
      <c r="C5" s="120"/>
      <c r="D5" s="57" t="s">
        <v>5</v>
      </c>
      <c r="E5" s="119" t="str">
        <f>[1]!b_issuer_regaddress(A2)</f>
        <v>北京市王府井大街255号</v>
      </c>
      <c r="F5" s="120"/>
      <c r="G5" s="120"/>
    </row>
    <row r="6" spans="1:20" s="17" customFormat="1" ht="81" customHeight="1" x14ac:dyDescent="0.25">
      <c r="A6" s="57" t="s">
        <v>6</v>
      </c>
      <c r="B6" s="121" t="str">
        <f>[1]!s_info_briefing(A2)</f>
        <v>公司是一家专注于百货业态的全国性连锁零售企业。前身是享誉中外的新中国第一店---北京市百货大楼，创立于1955年。公司紧紧围绕“提升、发展”两大主题，在全国积极推进百货连锁发展，在华北、华南、西南等区域已开设了多家百货门店，初步完成了主业连锁的战略布局，在竞争中取得了相对的优势地位。公司目前已是国家商务部重点扶持的大型流通企业，市场影响力日益扩大，综合实力稳步提升。2017年公司通过重大资产重组,承继及承接王府井国际的全部资产、负债、合同及其他一切权利与义务,有助于减少上市公司持股的中间层级，有助于进一步提高上市公司的决策效率、优化公司治理结构。</v>
      </c>
      <c r="C6" s="120"/>
      <c r="D6" s="120"/>
      <c r="E6" s="120"/>
      <c r="F6" s="120"/>
      <c r="G6" s="120"/>
    </row>
    <row r="7" spans="1:20" s="17" customFormat="1" x14ac:dyDescent="0.25">
      <c r="A7" s="59" t="s">
        <v>7</v>
      </c>
      <c r="B7" s="122" t="str">
        <f>[1]!b_issuer_shareholder(A2,"",1)</f>
        <v>北京王府井东安集团有限责任公司</v>
      </c>
      <c r="C7" s="120"/>
      <c r="D7" s="120"/>
      <c r="E7" s="120"/>
      <c r="F7" s="61">
        <f>[1]!b_issuer_propofshareholder($A$2,"",1)%</f>
        <v>0.26729999542236327</v>
      </c>
      <c r="G7" s="60"/>
      <c r="H7" s="20" t="s">
        <v>8</v>
      </c>
      <c r="M7" s="24">
        <v>42004</v>
      </c>
      <c r="N7" s="24">
        <v>42369</v>
      </c>
      <c r="O7" s="24">
        <v>41639</v>
      </c>
      <c r="P7" s="62" t="s">
        <v>9</v>
      </c>
      <c r="Q7" s="62" t="s">
        <v>10</v>
      </c>
      <c r="R7" s="62" t="s">
        <v>11</v>
      </c>
    </row>
    <row r="8" spans="1:20" s="17" customFormat="1" x14ac:dyDescent="0.25">
      <c r="A8" s="59"/>
      <c r="B8" s="122" t="str">
        <f>[1]!b_issuer_shareholder(A2,"",2)</f>
        <v>三胞集团南京投资管理有限公司</v>
      </c>
      <c r="C8" s="120"/>
      <c r="D8" s="120"/>
      <c r="E8" s="120"/>
      <c r="F8" s="61">
        <f>[1]!b_issuer_propofshareholder($A$2,"",2)%</f>
        <v>0.1125</v>
      </c>
      <c r="G8" s="60"/>
      <c r="H8" s="20"/>
      <c r="M8" s="25"/>
      <c r="O8" s="25"/>
      <c r="P8" s="63"/>
    </row>
    <row r="9" spans="1:20" s="17" customFormat="1" x14ac:dyDescent="0.25">
      <c r="A9" s="59"/>
      <c r="B9" s="122" t="str">
        <f>[1]!b_issuer_shareholder(A2,"",3)</f>
        <v>北京京国瑞国企改革发展基金(有限合伙)</v>
      </c>
      <c r="C9" s="120"/>
      <c r="D9" s="120"/>
      <c r="E9" s="120"/>
      <c r="F9" s="61">
        <f>[1]!b_issuer_propofshareholder($A$2,"",3)%</f>
        <v>7.4999999999999997E-2</v>
      </c>
      <c r="G9" s="60"/>
      <c r="H9" s="20"/>
      <c r="M9" s="25"/>
      <c r="O9" s="25"/>
      <c r="P9" s="63"/>
    </row>
    <row r="10" spans="1:20" s="17" customFormat="1" x14ac:dyDescent="0.25">
      <c r="A10" s="59"/>
      <c r="B10" s="122" t="str">
        <f>[1]!b_issuer_shareholder(A2,"",4)</f>
        <v>福海国盛(天津)股权投资合伙企业(有限合伙)</v>
      </c>
      <c r="C10" s="120"/>
      <c r="D10" s="120"/>
      <c r="E10" s="120"/>
      <c r="F10" s="61">
        <f>[1]!b_issuer_propofshareholder($A$2,"",4)%</f>
        <v>5.7300000190734862E-2</v>
      </c>
      <c r="G10" s="60"/>
      <c r="H10" s="20"/>
      <c r="M10" s="25"/>
      <c r="O10" s="25"/>
      <c r="P10" s="63"/>
    </row>
    <row r="11" spans="1:20" s="17" customFormat="1" x14ac:dyDescent="0.25">
      <c r="A11" s="59"/>
      <c r="B11" s="122" t="str">
        <f>[1]!b_issuer_shareholder(A2,"",5)</f>
        <v>北京信升创卓投资管理中心(有限合伙)</v>
      </c>
      <c r="C11" s="120"/>
      <c r="D11" s="120"/>
      <c r="E11" s="120"/>
      <c r="F11" s="61">
        <f>[1]!b_issuer_propofshareholder($A$2,"",5)%</f>
        <v>5.7300000190734862E-2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d19041609.IB</v>
      </c>
      <c r="K14" s="26"/>
      <c r="L14" s="27" t="str">
        <f>T15</f>
        <v>041551015.IB</v>
      </c>
      <c r="M14" s="27" t="str">
        <f>T16</f>
        <v>041361052.IB</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王府井集团股份有限公司</v>
      </c>
      <c r="K15" s="138"/>
      <c r="L15" s="8" t="str">
        <f>[1]!b_info_issuer(L14)</f>
        <v>百联集团有限公司</v>
      </c>
      <c r="M15" s="8" t="str">
        <f>[1]!b_info_issuer(M14)</f>
        <v>杭州市商贸旅游集团有限公司</v>
      </c>
      <c r="N15" s="8">
        <f>[1]!b_info_issuer(N14)</f>
        <v>0</v>
      </c>
      <c r="O15" s="8">
        <f>[1]!b_info_issuer(O14)</f>
        <v>0</v>
      </c>
      <c r="P15" s="8">
        <f>[1]!b_info_issuer(P14)</f>
        <v>0</v>
      </c>
      <c r="Q15" s="8">
        <f>[1]!b_info_issuer(Q14)</f>
        <v>0</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28</v>
      </c>
      <c r="J18" s="62" t="s">
        <v>29</v>
      </c>
      <c r="K18" s="124"/>
      <c r="L18" s="62" t="s">
        <v>29</v>
      </c>
      <c r="M18" s="62" t="s">
        <v>29</v>
      </c>
      <c r="N18" s="62" t="s">
        <v>29</v>
      </c>
      <c r="O18" s="62" t="s">
        <v>29</v>
      </c>
      <c r="P18" s="62" t="s">
        <v>29</v>
      </c>
      <c r="Q18" s="62" t="s">
        <v>29</v>
      </c>
      <c r="R18" s="62" t="s">
        <v>29</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30</v>
      </c>
      <c r="J19" s="68">
        <f>[1]!b_stm07_bs(J14,74,J13,1)/100000000</f>
        <v>201.8930044784</v>
      </c>
      <c r="K19" s="124"/>
      <c r="L19" s="68">
        <f>[1]!b_stm07_bs(L14,74,L13,1)/100000000</f>
        <v>811.62092797820003</v>
      </c>
      <c r="M19" s="68">
        <f>[1]!b_stm07_bs(M14,74,M13,1)/100000000</f>
        <v>225.84571779520002</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31</v>
      </c>
      <c r="J20" s="10">
        <f>[1]!s_fa_debttoassets(J14,J13)/100</f>
        <v>0.46558500000000003</v>
      </c>
      <c r="K20" s="124"/>
      <c r="L20" s="10">
        <f>[1]!s_fa_debttoassets(L14,L13)/100</f>
        <v>0.61461900000000003</v>
      </c>
      <c r="M20" s="10">
        <f>[1]!s_fa_debttoassets(M14,M13)/100</f>
        <v>0.53178400000000003</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32</v>
      </c>
      <c r="J21" s="68">
        <f>[1]!s_fa_current(J14,J13)</f>
        <v>1.111</v>
      </c>
      <c r="K21" s="124"/>
      <c r="L21" s="68">
        <f>[1]!s_fa_current(L14,L13)</f>
        <v>0.82430000000000003</v>
      </c>
      <c r="M21" s="68">
        <f>[1]!s_fa_current(M14,M13)</f>
        <v>1.4069</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33</v>
      </c>
      <c r="J22" s="66">
        <f>(J96+J97+J98+J99+J100+J101)/J103</f>
        <v>0.20844429235567927</v>
      </c>
      <c r="K22" s="124"/>
      <c r="L22" s="66">
        <f>(公式页!L96+公式页!L97+公式页!L98+公式页!L99+公式页!L100+公式页!L101)/公式页!L103</f>
        <v>0.35337849497336288</v>
      </c>
      <c r="M22" s="66">
        <f t="shared" ref="M22:R22" si="0">(M96+M97+M98+M99+M100+M101)/M103</f>
        <v>0.50318889844215609</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34</v>
      </c>
      <c r="J23" s="68">
        <f>[1]!s_fa_ebitdatodebt(J14,J13)</f>
        <v>0.20280000000000001</v>
      </c>
      <c r="K23" s="124"/>
      <c r="L23" s="68">
        <f>[1]!s_fa_ebitdatodebt(L14,L13)</f>
        <v>6.4399999999999999E-2</v>
      </c>
      <c r="M23" s="68">
        <f>[1]!s_fa_ebitdatodebt(M14,M13)</f>
        <v>0.14199999999999999</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35</v>
      </c>
      <c r="J24" s="68">
        <f>[1]!b_stm07_is(J14,9,J13,1)/100000000</f>
        <v>260.8522492244</v>
      </c>
      <c r="K24" s="124"/>
      <c r="L24" s="68">
        <f>[1]!b_stm07_is(L14,9,L13,1)/100000000</f>
        <v>603.53836157069998</v>
      </c>
      <c r="M24" s="68">
        <f>[1]!b_stm07_is(M14,9,M13,1)/100000000</f>
        <v>121.9501371292</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36</v>
      </c>
      <c r="J25" s="11">
        <f>[1]!s_fa_salescashintoor(J14,J13)%</f>
        <v>1.1244000000000001</v>
      </c>
      <c r="K25" s="124"/>
      <c r="L25" s="11">
        <f>[1]!s_fa_salescashintoor(L14,L13)%</f>
        <v>1.3087</v>
      </c>
      <c r="M25" s="11">
        <f>[1]!s_fa_salescashintoor(M14,M13)%</f>
        <v>1.1313</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37</v>
      </c>
      <c r="J26" s="11">
        <f>[1]!s_fa_grossprofitmargin(J14,J13)%</f>
        <v>0.20715699999999998</v>
      </c>
      <c r="K26" s="124"/>
      <c r="L26" s="11">
        <f>[1]!s_fa_grossprofitmargin(L14,L13)%</f>
        <v>0.19153199999999998</v>
      </c>
      <c r="M26" s="11">
        <f>[1]!s_fa_grossprofitmargin(M14,M13)%</f>
        <v>0.26797100000000001</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38</v>
      </c>
      <c r="J27" s="69">
        <f>[1]!b_stm07_is(J14,60,J13,1)/100000000</f>
        <v>9.3209164040000001</v>
      </c>
      <c r="K27" s="124"/>
      <c r="L27" s="69">
        <f>[1]!b_stm07_is(L14,60,L13,1)/100000000</f>
        <v>6.6536383521000007</v>
      </c>
      <c r="M27" s="69">
        <f>[1]!b_stm07_is(M14,60,M13,1)/100000000</f>
        <v>9.8746672928999999</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39</v>
      </c>
      <c r="I28" s="54" t="s">
        <v>40</v>
      </c>
      <c r="J28" s="10">
        <f>[1]!s_fa_roe(J14,J13)%</f>
        <v>8.8567999999999994E-2</v>
      </c>
      <c r="K28" s="124"/>
      <c r="L28" s="10">
        <f>[1]!s_fa_roe(L14,L13)%</f>
        <v>1.9740000000000001E-2</v>
      </c>
      <c r="M28" s="10">
        <f>[1]!s_fa_roe(M14,M13)%</f>
        <v>9.7437999999999997E-2</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41</v>
      </c>
      <c r="J29" s="69">
        <f>[1]!b_stm07_cs(J14,39,J13,1)/100000000</f>
        <v>20.576560378299998</v>
      </c>
      <c r="K29" s="124"/>
      <c r="L29" s="69">
        <f>[1]!b_stm07_cs(L14,39,L13,1)/100000000</f>
        <v>31.0351855557</v>
      </c>
      <c r="M29" s="69">
        <f>[1]!b_stm07_cs(M14,39,M13,1)/100000000</f>
        <v>15.061674540599999</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42</v>
      </c>
      <c r="J96" s="71">
        <f>[1]!b_stm07_bs(J14,75,J13,1)</f>
        <v>0</v>
      </c>
      <c r="K96" s="71"/>
      <c r="L96" s="71">
        <f>[1]!b_stm07_bs(L14,75,L13,1)</f>
        <v>4041086894.1500001</v>
      </c>
      <c r="M96" s="71">
        <f>[1]!b_stm07_bs(M14,75,M13,1)</f>
        <v>1121300000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43</v>
      </c>
      <c r="J97" s="71">
        <f>[1]!b_stm07_bs(J14,82,J13,1)</f>
        <v>11337122.970000001</v>
      </c>
      <c r="K97" s="71"/>
      <c r="L97" s="71">
        <f>[1]!b_stm07_bs(L14,82,L13,1)</f>
        <v>62633148.549999997</v>
      </c>
      <c r="M97" s="71">
        <f>[1]!b_stm07_bs(M14,82,M13,1)</f>
        <v>5412204.5199999996</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44</v>
      </c>
      <c r="J98" s="71">
        <f>[1]!b_stm07_bs(J14,88,J13,1)</f>
        <v>538595878.78999996</v>
      </c>
      <c r="K98" s="71"/>
      <c r="L98" s="71">
        <f>[1]!b_stm07_bs(L14,88,L13,1)</f>
        <v>2597662739.3499999</v>
      </c>
      <c r="M98" s="71">
        <f>[1]!b_stm07_bs(M14,88,M13,1)</f>
        <v>60070000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45</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46</v>
      </c>
      <c r="J100" s="71">
        <f>[1]!b_stm07_bs(J14,94,J13,1)</f>
        <v>600000000</v>
      </c>
      <c r="K100" s="71"/>
      <c r="L100" s="71">
        <f>[1]!b_stm07_bs(L14,94,L13,1)</f>
        <v>1095436365</v>
      </c>
      <c r="M100" s="71">
        <f>[1]!b_stm07_bs(M14,94,M13,1)</f>
        <v>2080756641.71</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47</v>
      </c>
      <c r="J101" s="71">
        <f>[1]!b_stm07_bs(J14,95,J13,1)</f>
        <v>1099068000</v>
      </c>
      <c r="K101" s="71"/>
      <c r="L101" s="71">
        <f>[1]!b_stm07_bs(L14,95,L13,1)</f>
        <v>3256279671.23</v>
      </c>
      <c r="M101" s="71">
        <f>[1]!b_stm07_bs(M14,95,M13,1)</f>
        <v>2053411388.8900001</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48</v>
      </c>
      <c r="J103" s="71">
        <f>[1]!b_stm07_bs(J14,141,J13,1)</f>
        <v>10789458307.27</v>
      </c>
      <c r="K103" s="71"/>
      <c r="L103" s="71">
        <f>[1]!b_stm07_bs(L14,141,L13,1)</f>
        <v>31278357272.740002</v>
      </c>
      <c r="M103" s="71">
        <f>[1]!b_stm07_bs(M14,141,M13,1)</f>
        <v>10574458720.360001</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49</v>
      </c>
      <c r="B106" s="118"/>
      <c r="C106" s="118"/>
      <c r="D106" s="124"/>
      <c r="E106" s="124"/>
      <c r="F106" s="124"/>
      <c r="G106" s="124"/>
      <c r="H106" s="124"/>
      <c r="I106" s="124"/>
      <c r="J106" s="124"/>
      <c r="L106" s="17"/>
      <c r="M106" s="17"/>
    </row>
    <row r="107" spans="1:19" x14ac:dyDescent="0.25">
      <c r="A107" s="125" t="s">
        <v>50</v>
      </c>
      <c r="B107" s="118"/>
      <c r="C107" s="118"/>
      <c r="D107" s="124"/>
      <c r="E107" s="124"/>
      <c r="F107" s="124"/>
      <c r="G107" s="126">
        <v>2017</v>
      </c>
      <c r="H107" s="124"/>
      <c r="I107" s="124"/>
      <c r="J107" s="124"/>
      <c r="K107" s="40" t="str">
        <f>A2</f>
        <v>d19041609.IB</v>
      </c>
      <c r="L107" s="33">
        <f>B2</f>
        <v>43100</v>
      </c>
      <c r="M107" s="17"/>
    </row>
    <row r="108" spans="1:19" ht="12.75" customHeight="1" x14ac:dyDescent="0.25">
      <c r="A108" s="127" t="s">
        <v>51</v>
      </c>
      <c r="B108" s="118"/>
      <c r="C108" s="127" t="s">
        <v>52</v>
      </c>
      <c r="D108" s="124"/>
      <c r="E108" s="127" t="s">
        <v>53</v>
      </c>
      <c r="F108" s="124"/>
      <c r="G108" s="127" t="s">
        <v>54</v>
      </c>
      <c r="H108" s="124"/>
      <c r="I108" s="127" t="s">
        <v>55</v>
      </c>
      <c r="J108" s="124"/>
      <c r="L108" s="17"/>
      <c r="M108" s="17"/>
    </row>
    <row r="109" spans="1:19" ht="16.5" customHeight="1" x14ac:dyDescent="0.25">
      <c r="A109" s="54" t="s">
        <v>56</v>
      </c>
      <c r="B109" s="12">
        <f>M109/100</f>
        <v>0.46558500000000003</v>
      </c>
      <c r="C109" s="54" t="s">
        <v>32</v>
      </c>
      <c r="D109" s="72">
        <f>[1]!s_fa_current(A2,B2)</f>
        <v>1.111</v>
      </c>
      <c r="E109" s="54" t="s">
        <v>36</v>
      </c>
      <c r="F109" s="73">
        <f>[1]!s_fa_salescashintoor(A2,B2)/100</f>
        <v>1.1244000000000001</v>
      </c>
      <c r="G109" s="54" t="s">
        <v>37</v>
      </c>
      <c r="H109" s="12">
        <f>S109/100</f>
        <v>0.20715699999999998</v>
      </c>
      <c r="I109" s="54"/>
      <c r="J109" s="16"/>
      <c r="K109" s="25"/>
      <c r="L109" s="34" t="s">
        <v>56</v>
      </c>
      <c r="M109" s="74">
        <f>[1]!s_fa_debttoassets(A2,B2)</f>
        <v>46.558500000000002</v>
      </c>
      <c r="N109" s="54" t="s">
        <v>32</v>
      </c>
      <c r="O109" s="35"/>
      <c r="P109" s="54" t="s">
        <v>36</v>
      </c>
      <c r="Q109" s="35"/>
      <c r="R109" s="54" t="s">
        <v>37</v>
      </c>
      <c r="S109" s="75">
        <f>[1]!s_fa_grossprofitmargin(A2,B2)</f>
        <v>20.715699999999998</v>
      </c>
    </row>
    <row r="110" spans="1:19" ht="15.75" customHeight="1" x14ac:dyDescent="0.25">
      <c r="A110" s="54" t="s">
        <v>57</v>
      </c>
      <c r="B110" s="12">
        <f>M110/100</f>
        <v>0.39921599999999996</v>
      </c>
      <c r="C110" s="54" t="s">
        <v>58</v>
      </c>
      <c r="D110" s="73">
        <f>[1]!s_fa_quick(A2,B2)</f>
        <v>1.0049999999999999</v>
      </c>
      <c r="E110" s="54" t="s">
        <v>59</v>
      </c>
      <c r="F110" s="72">
        <f>[1]!s_fa_arturn(A2,B2)</f>
        <v>126.7077</v>
      </c>
      <c r="G110" s="54" t="s">
        <v>60</v>
      </c>
      <c r="H110" s="12">
        <f>S110/100</f>
        <v>5.1195000000000004E-2</v>
      </c>
      <c r="I110" s="54"/>
      <c r="J110" s="16"/>
      <c r="L110" s="54" t="s">
        <v>57</v>
      </c>
      <c r="M110" s="74">
        <f>[1]!s_fa_catoassets(A2,B2)</f>
        <v>39.921599999999998</v>
      </c>
      <c r="N110" s="54" t="s">
        <v>58</v>
      </c>
      <c r="O110" s="35"/>
      <c r="P110" s="54" t="s">
        <v>59</v>
      </c>
      <c r="Q110" s="73"/>
      <c r="R110" s="54" t="s">
        <v>60</v>
      </c>
      <c r="S110" s="75">
        <f>[1]!s_fa_optogr(A2,B2)</f>
        <v>5.1195000000000004</v>
      </c>
    </row>
    <row r="111" spans="1:19" ht="15" customHeight="1" x14ac:dyDescent="0.25">
      <c r="A111" s="54" t="s">
        <v>61</v>
      </c>
      <c r="B111" s="12">
        <f>M111/100</f>
        <v>0.771791</v>
      </c>
      <c r="C111" s="54" t="s">
        <v>34</v>
      </c>
      <c r="D111" s="73">
        <f>[1]!s_fa_ebitdatodebt(A2,B2)</f>
        <v>0.20280000000000001</v>
      </c>
      <c r="E111" s="54" t="s">
        <v>62</v>
      </c>
      <c r="F111" s="72">
        <f>[1]!s_fa_invturn(A2,B2)</f>
        <v>35.544800000000002</v>
      </c>
      <c r="G111" s="54" t="s">
        <v>40</v>
      </c>
      <c r="H111" s="12">
        <f>S111/100</f>
        <v>8.8567999999999994E-2</v>
      </c>
      <c r="I111" s="54"/>
      <c r="J111" s="16"/>
      <c r="L111" s="54" t="s">
        <v>61</v>
      </c>
      <c r="M111" s="74">
        <f>[1]!s_fa_currentdebttodebt(A2,B2)</f>
        <v>77.179100000000005</v>
      </c>
      <c r="N111" s="54" t="s">
        <v>34</v>
      </c>
      <c r="O111" s="35"/>
      <c r="P111" s="54" t="s">
        <v>62</v>
      </c>
      <c r="Q111" s="35"/>
      <c r="R111" s="54" t="s">
        <v>40</v>
      </c>
      <c r="S111" s="75">
        <f>[1]!s_fa_roe(A2,B2)</f>
        <v>8.8567999999999998</v>
      </c>
    </row>
    <row r="112" spans="1:19" ht="14.25" customHeight="1" x14ac:dyDescent="0.25">
      <c r="A112" s="54" t="s">
        <v>33</v>
      </c>
      <c r="B112" s="76">
        <f>(M116+M117+M118+M119+M120+M121)/M123</f>
        <v>0.20844429235567927</v>
      </c>
      <c r="C112" s="54" t="s">
        <v>63</v>
      </c>
      <c r="D112" s="73">
        <f>[1]!s_fa_ebittointerest(A2,B2)</f>
        <v>0</v>
      </c>
      <c r="E112" s="54" t="s">
        <v>64</v>
      </c>
      <c r="F112" s="72">
        <f>[1]!s_fa_caturn(A2,B2)</f>
        <v>2.8593999999999999</v>
      </c>
      <c r="G112" s="54" t="s">
        <v>65</v>
      </c>
      <c r="H112" s="12">
        <f>S112/100</f>
        <v>6.6645999999999997E-2</v>
      </c>
      <c r="I112" s="54"/>
      <c r="J112" s="16"/>
      <c r="L112" s="54" t="s">
        <v>33</v>
      </c>
      <c r="M112" s="77"/>
      <c r="N112" s="54" t="s">
        <v>63</v>
      </c>
      <c r="O112" s="35"/>
      <c r="P112" s="54" t="s">
        <v>64</v>
      </c>
      <c r="Q112" s="35"/>
      <c r="R112" s="54" t="s">
        <v>65</v>
      </c>
      <c r="S112" s="75">
        <f>[1]!s_fa_roa2(A2,B2)</f>
        <v>6.6646000000000001</v>
      </c>
    </row>
    <row r="113" spans="1:21" x14ac:dyDescent="0.25">
      <c r="A113" s="30"/>
      <c r="B113" s="31"/>
      <c r="C113" s="30"/>
      <c r="D113" s="32"/>
      <c r="E113" s="30" t="s">
        <v>66</v>
      </c>
      <c r="F113" s="78">
        <f>[1]!s_fa_dupont_faturnover(A2,B2)</f>
        <v>1.3736999999999999</v>
      </c>
      <c r="G113" s="30"/>
      <c r="H113" s="31"/>
      <c r="I113" s="30"/>
      <c r="J113" s="31"/>
      <c r="L113" s="30"/>
      <c r="M113" s="36"/>
      <c r="N113" s="30"/>
      <c r="O113" s="32"/>
      <c r="P113" s="30" t="s">
        <v>66</v>
      </c>
      <c r="Q113" s="37"/>
      <c r="R113" s="30"/>
      <c r="S113" s="31"/>
    </row>
    <row r="114" spans="1:21" ht="13.5" customHeight="1" x14ac:dyDescent="0.25">
      <c r="A114" s="123" t="s">
        <v>67</v>
      </c>
      <c r="B114" s="118"/>
      <c r="C114" s="118"/>
      <c r="D114" s="124"/>
      <c r="E114" s="124"/>
      <c r="F114" s="124"/>
      <c r="G114" s="124"/>
      <c r="H114" s="124"/>
      <c r="I114" s="124"/>
      <c r="J114" s="124"/>
      <c r="L114" s="17"/>
      <c r="M114" s="17"/>
    </row>
    <row r="115" spans="1:21" ht="13.5" customHeight="1" x14ac:dyDescent="0.25">
      <c r="A115" s="125" t="s">
        <v>68</v>
      </c>
      <c r="B115" s="118"/>
      <c r="C115" s="118"/>
      <c r="D115" s="124"/>
      <c r="E115" s="124"/>
      <c r="F115" s="124"/>
      <c r="G115" s="128">
        <v>2017</v>
      </c>
      <c r="H115" s="124"/>
      <c r="I115" s="124"/>
      <c r="J115" s="124"/>
      <c r="L115" s="17"/>
      <c r="M115" s="17"/>
    </row>
    <row r="116" spans="1:21" x14ac:dyDescent="0.25">
      <c r="A116" s="129" t="s">
        <v>69</v>
      </c>
      <c r="B116" s="118"/>
      <c r="C116" s="129" t="s">
        <v>70</v>
      </c>
      <c r="D116" s="124"/>
      <c r="E116" s="130" t="s">
        <v>71</v>
      </c>
      <c r="F116" s="124"/>
      <c r="G116" s="124"/>
      <c r="H116" s="124"/>
      <c r="I116" s="124"/>
      <c r="J116" s="124"/>
      <c r="L116" s="17" t="s">
        <v>42</v>
      </c>
      <c r="M116" s="71">
        <f>[1]!b_stm07_bs(K107,75,L107,1)</f>
        <v>0</v>
      </c>
    </row>
    <row r="117" spans="1:21" ht="14.25" customHeight="1" x14ac:dyDescent="0.25">
      <c r="A117" s="54" t="s">
        <v>72</v>
      </c>
      <c r="B117" s="73">
        <f t="shared" ref="B117:B131" si="1">M127/100000000</f>
        <v>60.313110225000003</v>
      </c>
      <c r="C117" s="54" t="s">
        <v>73</v>
      </c>
      <c r="D117" s="76">
        <f t="shared" ref="D117:D125" si="2">O127/100000000</f>
        <v>260.8522492244</v>
      </c>
      <c r="E117" s="131" t="s">
        <v>74</v>
      </c>
      <c r="F117" s="124"/>
      <c r="G117" s="124"/>
      <c r="H117" s="132">
        <f t="shared" ref="H117:H131" si="3">S127/100000000</f>
        <v>293.29985751949999</v>
      </c>
      <c r="I117" s="124"/>
      <c r="J117" s="124"/>
      <c r="L117" s="17" t="s">
        <v>43</v>
      </c>
      <c r="M117" s="71">
        <f>[1]!b_stm07_bs(K107,82,L107,1)</f>
        <v>11337122.970000001</v>
      </c>
    </row>
    <row r="118" spans="1:21" ht="14.25" customHeight="1" x14ac:dyDescent="0.25">
      <c r="A118" s="54" t="s">
        <v>75</v>
      </c>
      <c r="B118" s="73">
        <f t="shared" si="1"/>
        <v>2.4284567233000001</v>
      </c>
      <c r="C118" s="54" t="s">
        <v>76</v>
      </c>
      <c r="D118" s="76">
        <f t="shared" si="2"/>
        <v>247.48689910259998</v>
      </c>
      <c r="E118" s="131" t="s">
        <v>77</v>
      </c>
      <c r="F118" s="124"/>
      <c r="G118" s="124"/>
      <c r="H118" s="132">
        <f t="shared" si="3"/>
        <v>4.6277938581999996</v>
      </c>
      <c r="I118" s="124"/>
      <c r="J118" s="124"/>
      <c r="L118" s="17" t="s">
        <v>44</v>
      </c>
      <c r="M118" s="71">
        <f>[1]!b_stm07_bs(K107,88,L107,1)</f>
        <v>538595878.78999996</v>
      </c>
    </row>
    <row r="119" spans="1:21" ht="14.25" customHeight="1" x14ac:dyDescent="0.25">
      <c r="A119" s="54" t="s">
        <v>78</v>
      </c>
      <c r="B119" s="73">
        <f t="shared" si="1"/>
        <v>2.3976350472000001</v>
      </c>
      <c r="C119" s="54" t="s">
        <v>79</v>
      </c>
      <c r="D119" s="76">
        <f t="shared" si="2"/>
        <v>206.8148282514</v>
      </c>
      <c r="E119" s="131" t="s">
        <v>80</v>
      </c>
      <c r="F119" s="124"/>
      <c r="G119" s="124"/>
      <c r="H119" s="133">
        <f t="shared" si="3"/>
        <v>298.05232178540001</v>
      </c>
      <c r="I119" s="124"/>
      <c r="J119" s="124"/>
      <c r="L119" s="17" t="s">
        <v>45</v>
      </c>
      <c r="M119" s="71">
        <f>[1]!b_stm07_bs(K107,147,L107,1)</f>
        <v>0</v>
      </c>
    </row>
    <row r="120" spans="1:21" ht="14.25" customHeight="1" x14ac:dyDescent="0.25">
      <c r="A120" s="54" t="s">
        <v>81</v>
      </c>
      <c r="B120" s="73">
        <f t="shared" si="1"/>
        <v>46.446546586899998</v>
      </c>
      <c r="C120" s="54" t="s">
        <v>82</v>
      </c>
      <c r="D120" s="76">
        <f t="shared" si="2"/>
        <v>28.5921385348</v>
      </c>
      <c r="E120" s="131" t="s">
        <v>83</v>
      </c>
      <c r="F120" s="124"/>
      <c r="G120" s="124"/>
      <c r="H120" s="132">
        <f t="shared" si="3"/>
        <v>231.40256243389999</v>
      </c>
      <c r="I120" s="124"/>
      <c r="J120" s="124"/>
      <c r="L120" s="17" t="s">
        <v>46</v>
      </c>
      <c r="M120" s="71">
        <f>[1]!b_stm07_bs(K107,94,L107,1)</f>
        <v>600000000</v>
      </c>
    </row>
    <row r="121" spans="1:21" ht="14.25" customHeight="1" x14ac:dyDescent="0.25">
      <c r="A121" s="54" t="s">
        <v>84</v>
      </c>
      <c r="B121" s="73">
        <f t="shared" si="1"/>
        <v>0.24377902199999998</v>
      </c>
      <c r="C121" s="54" t="s">
        <v>85</v>
      </c>
      <c r="D121" s="76">
        <f t="shared" si="2"/>
        <v>9.5631533470000001</v>
      </c>
      <c r="E121" s="131" t="s">
        <v>86</v>
      </c>
      <c r="F121" s="124"/>
      <c r="G121" s="124"/>
      <c r="H121" s="132">
        <f t="shared" si="3"/>
        <v>21.285670177</v>
      </c>
      <c r="I121" s="124"/>
      <c r="J121" s="124"/>
      <c r="L121" s="17" t="s">
        <v>47</v>
      </c>
      <c r="M121" s="71">
        <f>[1]!b_stm07_bs(K107,95,L107,1)</f>
        <v>1099068000</v>
      </c>
    </row>
    <row r="122" spans="1:21" ht="14.25" customHeight="1" x14ac:dyDescent="0.25">
      <c r="A122" s="54" t="s">
        <v>87</v>
      </c>
      <c r="B122" s="73">
        <f t="shared" si="1"/>
        <v>9.878970475900001</v>
      </c>
      <c r="C122" s="54" t="s">
        <v>88</v>
      </c>
      <c r="D122" s="76">
        <f t="shared" si="2"/>
        <v>-0.14946098390000001</v>
      </c>
      <c r="E122" s="131" t="s">
        <v>89</v>
      </c>
      <c r="F122" s="124"/>
      <c r="G122" s="124"/>
      <c r="H122" s="133">
        <f t="shared" si="3"/>
        <v>277.47576140709998</v>
      </c>
      <c r="I122" s="124"/>
      <c r="J122" s="124"/>
      <c r="L122" s="17"/>
      <c r="M122" s="17"/>
    </row>
    <row r="123" spans="1:21" ht="14.25" customHeight="1" x14ac:dyDescent="0.25">
      <c r="A123" s="54" t="s">
        <v>90</v>
      </c>
      <c r="B123" s="79">
        <f t="shared" si="1"/>
        <v>201.8930044784</v>
      </c>
      <c r="C123" s="54" t="s">
        <v>91</v>
      </c>
      <c r="D123" s="76">
        <f t="shared" si="2"/>
        <v>13.3543641837</v>
      </c>
      <c r="E123" s="131" t="s">
        <v>92</v>
      </c>
      <c r="F123" s="124"/>
      <c r="G123" s="124"/>
      <c r="H123" s="133">
        <f t="shared" si="3"/>
        <v>20.576560378299998</v>
      </c>
      <c r="I123" s="124"/>
      <c r="J123" s="124"/>
      <c r="L123" s="17" t="s">
        <v>48</v>
      </c>
      <c r="M123" s="71">
        <f>[1]!b_stm07_bs(K107,141,L107,1)</f>
        <v>10789458307.27</v>
      </c>
    </row>
    <row r="124" spans="1:21" ht="14.25" customHeight="1" x14ac:dyDescent="0.25">
      <c r="A124" s="54" t="s">
        <v>93</v>
      </c>
      <c r="B124" s="73">
        <f t="shared" si="1"/>
        <v>0</v>
      </c>
      <c r="C124" s="54" t="s">
        <v>94</v>
      </c>
      <c r="D124" s="76">
        <f t="shared" si="2"/>
        <v>13.433625595999999</v>
      </c>
      <c r="E124" s="131" t="s">
        <v>95</v>
      </c>
      <c r="F124" s="124"/>
      <c r="G124" s="124"/>
      <c r="H124" s="133">
        <f t="shared" si="3"/>
        <v>-24.744951281300001</v>
      </c>
      <c r="I124" s="124"/>
      <c r="J124" s="124"/>
      <c r="L124" s="17"/>
      <c r="M124" s="17"/>
    </row>
    <row r="125" spans="1:21" ht="27" customHeight="1" x14ac:dyDescent="0.25">
      <c r="A125" s="54" t="s">
        <v>96</v>
      </c>
      <c r="B125" s="73">
        <f t="shared" si="1"/>
        <v>5.3859587878999999</v>
      </c>
      <c r="C125" s="54" t="s">
        <v>38</v>
      </c>
      <c r="D125" s="76">
        <f t="shared" si="2"/>
        <v>9.3209164040000001</v>
      </c>
      <c r="E125" s="131" t="s">
        <v>97</v>
      </c>
      <c r="F125" s="124"/>
      <c r="G125" s="124"/>
      <c r="H125" s="132">
        <f t="shared" si="3"/>
        <v>0.249</v>
      </c>
      <c r="I125" s="124"/>
      <c r="J125" s="124"/>
      <c r="L125" s="17"/>
      <c r="M125" s="17"/>
    </row>
    <row r="126" spans="1:21" ht="16.5" customHeight="1" x14ac:dyDescent="0.25">
      <c r="A126" s="54" t="s">
        <v>98</v>
      </c>
      <c r="B126" s="73">
        <f t="shared" si="1"/>
        <v>0</v>
      </c>
      <c r="C126" s="54"/>
      <c r="D126" s="80"/>
      <c r="E126" s="131" t="s">
        <v>99</v>
      </c>
      <c r="F126" s="124"/>
      <c r="G126" s="124"/>
      <c r="H126" s="132">
        <f t="shared" si="3"/>
        <v>3.5241096102999996</v>
      </c>
      <c r="I126" s="124"/>
      <c r="J126" s="124"/>
      <c r="L126" s="134" t="s">
        <v>69</v>
      </c>
      <c r="M126" s="124"/>
      <c r="N126" s="134" t="s">
        <v>70</v>
      </c>
      <c r="O126" s="124"/>
      <c r="P126" s="125" t="s">
        <v>71</v>
      </c>
      <c r="Q126" s="124"/>
      <c r="R126" s="124"/>
      <c r="S126" s="135"/>
      <c r="T126" s="135"/>
      <c r="U126" s="135"/>
    </row>
    <row r="127" spans="1:21" ht="14.25" customHeight="1" x14ac:dyDescent="0.25">
      <c r="A127" s="54" t="s">
        <v>100</v>
      </c>
      <c r="B127" s="73">
        <f t="shared" si="1"/>
        <v>6</v>
      </c>
      <c r="C127" s="54"/>
      <c r="D127" s="80"/>
      <c r="E127" s="131" t="s">
        <v>101</v>
      </c>
      <c r="F127" s="124"/>
      <c r="G127" s="124"/>
      <c r="H127" s="132">
        <f t="shared" si="3"/>
        <v>0</v>
      </c>
      <c r="I127" s="124"/>
      <c r="J127" s="124"/>
      <c r="L127" s="54" t="s">
        <v>72</v>
      </c>
      <c r="M127" s="75">
        <f>[1]!b_stm07_bs(K107,9,L107,1)</f>
        <v>6031311022.5</v>
      </c>
      <c r="N127" s="54" t="s">
        <v>73</v>
      </c>
      <c r="O127" s="75">
        <f>[1]!b_stm07_is(K107,83,L107,1)</f>
        <v>26085224922.439999</v>
      </c>
      <c r="P127" s="131" t="s">
        <v>74</v>
      </c>
      <c r="Q127" s="124"/>
      <c r="R127" s="124"/>
      <c r="S127" s="136">
        <f>[1]!b_stm07_cs(K107,9,L107,1)</f>
        <v>29329985751.950001</v>
      </c>
      <c r="T127" s="135"/>
      <c r="U127" s="135"/>
    </row>
    <row r="128" spans="1:21" ht="14.25" customHeight="1" x14ac:dyDescent="0.25">
      <c r="A128" s="54" t="s">
        <v>102</v>
      </c>
      <c r="B128" s="73">
        <f t="shared" si="1"/>
        <v>10.990679999999999</v>
      </c>
      <c r="C128" s="54"/>
      <c r="D128" s="80"/>
      <c r="E128" s="131" t="s">
        <v>103</v>
      </c>
      <c r="F128" s="124"/>
      <c r="G128" s="124"/>
      <c r="H128" s="133">
        <f t="shared" si="3"/>
        <v>5.4513256102999996</v>
      </c>
      <c r="I128" s="124"/>
      <c r="J128" s="124"/>
      <c r="L128" s="54" t="s">
        <v>75</v>
      </c>
      <c r="M128" s="75">
        <f>[1]!b_stm07_bs(K107,12,L107,1)</f>
        <v>242845672.33000001</v>
      </c>
      <c r="N128" s="54" t="s">
        <v>76</v>
      </c>
      <c r="O128" s="75">
        <f>[1]!b_stm07_is(K107,84,L107,1)</f>
        <v>24748689910.259998</v>
      </c>
      <c r="P128" s="131" t="s">
        <v>77</v>
      </c>
      <c r="Q128" s="124"/>
      <c r="R128" s="124"/>
      <c r="S128" s="136">
        <f>[1]!b_stm07_cs(K107,11,L107,1)</f>
        <v>462779385.81999999</v>
      </c>
      <c r="T128" s="135"/>
      <c r="U128" s="135"/>
    </row>
    <row r="129" spans="1:21" ht="14.25" customHeight="1" x14ac:dyDescent="0.25">
      <c r="A129" s="54" t="s">
        <v>104</v>
      </c>
      <c r="B129" s="79">
        <f t="shared" si="1"/>
        <v>93.9984214057</v>
      </c>
      <c r="C129" s="14"/>
      <c r="D129" s="13"/>
      <c r="E129" s="131" t="s">
        <v>105</v>
      </c>
      <c r="F129" s="124"/>
      <c r="G129" s="124"/>
      <c r="H129" s="132">
        <f t="shared" si="3"/>
        <v>23.033262077500002</v>
      </c>
      <c r="I129" s="124"/>
      <c r="J129" s="124"/>
      <c r="L129" s="54" t="s">
        <v>78</v>
      </c>
      <c r="M129" s="75">
        <f>[1]!b_stm07_bs(K107,13,L107,1)</f>
        <v>239763504.72</v>
      </c>
      <c r="N129" s="54" t="s">
        <v>79</v>
      </c>
      <c r="O129" s="75">
        <f>[1]!b_stm07_is(K107,10,L107,1)</f>
        <v>20681482825.139999</v>
      </c>
      <c r="P129" s="131" t="s">
        <v>80</v>
      </c>
      <c r="Q129" s="124"/>
      <c r="R129" s="124"/>
      <c r="S129" s="137">
        <f>[1]!b_stm07_cs(K107,25,L107,1)</f>
        <v>29805232178.540001</v>
      </c>
      <c r="T129" s="135"/>
      <c r="U129" s="135"/>
    </row>
    <row r="130" spans="1:21" ht="14.25" customHeight="1" x14ac:dyDescent="0.25">
      <c r="A130" s="54" t="s">
        <v>106</v>
      </c>
      <c r="B130" s="79">
        <f t="shared" si="1"/>
        <v>107.8945830727</v>
      </c>
      <c r="C130" s="14"/>
      <c r="D130" s="13"/>
      <c r="E130" s="131" t="s">
        <v>107</v>
      </c>
      <c r="F130" s="124"/>
      <c r="G130" s="124"/>
      <c r="H130" s="132">
        <f t="shared" si="3"/>
        <v>28.149047840000001</v>
      </c>
      <c r="I130" s="124"/>
      <c r="J130" s="124"/>
      <c r="L130" s="54" t="s">
        <v>81</v>
      </c>
      <c r="M130" s="75">
        <f>[1]!b_stm07_bs(K107,31,L107,1)</f>
        <v>4644654658.6899996</v>
      </c>
      <c r="N130" s="54" t="s">
        <v>82</v>
      </c>
      <c r="O130" s="75">
        <f>[1]!b_stm07_is(K107,12,L107,1)</f>
        <v>2859213853.48</v>
      </c>
      <c r="P130" s="131" t="s">
        <v>83</v>
      </c>
      <c r="Q130" s="124"/>
      <c r="R130" s="124"/>
      <c r="S130" s="136">
        <f>[1]!b_stm07_cs(K107,26,L107,1)</f>
        <v>23140256243.389999</v>
      </c>
      <c r="T130" s="135"/>
      <c r="U130" s="135"/>
    </row>
    <row r="131" spans="1:21" ht="14.25" customHeight="1" x14ac:dyDescent="0.25">
      <c r="A131" s="15" t="s">
        <v>108</v>
      </c>
      <c r="B131" s="79">
        <f t="shared" si="1"/>
        <v>201.8930044784</v>
      </c>
      <c r="C131" s="14"/>
      <c r="D131" s="13"/>
      <c r="E131" s="131" t="s">
        <v>109</v>
      </c>
      <c r="F131" s="124"/>
      <c r="G131" s="124"/>
      <c r="H131" s="133">
        <f t="shared" si="3"/>
        <v>-22.697722229699998</v>
      </c>
      <c r="I131" s="124"/>
      <c r="J131" s="124"/>
      <c r="L131" s="54" t="s">
        <v>84</v>
      </c>
      <c r="M131" s="75">
        <f>[1]!b_stm07_bs(K107,33,L107,1)</f>
        <v>24377902.199999999</v>
      </c>
      <c r="N131" s="54" t="s">
        <v>85</v>
      </c>
      <c r="O131" s="75">
        <f>[1]!b_stm07_is(K107,13,L107,1)</f>
        <v>956315334.70000005</v>
      </c>
      <c r="P131" s="131" t="s">
        <v>86</v>
      </c>
      <c r="Q131" s="124"/>
      <c r="R131" s="124"/>
      <c r="S131" s="136">
        <f>[1]!b_stm07_cs(K107,29,L107,1)</f>
        <v>2128567017.7</v>
      </c>
      <c r="T131" s="135"/>
      <c r="U131" s="135"/>
    </row>
    <row r="132" spans="1:21" x14ac:dyDescent="0.25">
      <c r="L132" s="54" t="s">
        <v>87</v>
      </c>
      <c r="M132" s="75">
        <f>[1]!b_stm07_bs(K107,37,L107,1)</f>
        <v>987897047.59000003</v>
      </c>
      <c r="N132" s="54" t="s">
        <v>88</v>
      </c>
      <c r="O132" s="75">
        <f>[1]!b_stm07_is(K107,14,L107,1)</f>
        <v>-14946098.390000001</v>
      </c>
      <c r="P132" s="131" t="s">
        <v>89</v>
      </c>
      <c r="Q132" s="124"/>
      <c r="R132" s="124"/>
      <c r="S132" s="137">
        <f>[1]!b_stm07_cs(K107,37,L107,1)</f>
        <v>27747576140.709999</v>
      </c>
      <c r="T132" s="135"/>
      <c r="U132" s="135"/>
    </row>
    <row r="133" spans="1:21" x14ac:dyDescent="0.25">
      <c r="L133" s="54" t="s">
        <v>90</v>
      </c>
      <c r="M133" s="81">
        <f>[1]!b_stm07_bs(K107,74,L107,1)</f>
        <v>20189300447.84</v>
      </c>
      <c r="N133" s="54" t="s">
        <v>91</v>
      </c>
      <c r="O133" s="75">
        <f>[1]!b_stm07_is(K107,48,L107,1)</f>
        <v>1335436418.3699999</v>
      </c>
      <c r="P133" s="131" t="s">
        <v>92</v>
      </c>
      <c r="Q133" s="124"/>
      <c r="R133" s="124"/>
      <c r="S133" s="137">
        <f>[1]!b_stm07_cs(K107,39,L107,1)</f>
        <v>2057656037.8299999</v>
      </c>
      <c r="T133" s="135"/>
      <c r="U133" s="135"/>
    </row>
    <row r="134" spans="1:21" x14ac:dyDescent="0.25">
      <c r="L134" s="54" t="s">
        <v>93</v>
      </c>
      <c r="M134" s="75">
        <f>[1]!b_stm07_bs(K107,75,L107,1)</f>
        <v>0</v>
      </c>
      <c r="N134" s="54" t="s">
        <v>94</v>
      </c>
      <c r="O134" s="75">
        <f>[1]!b_stm07_is(K107,55,L107,1)</f>
        <v>1343362559.5999999</v>
      </c>
      <c r="P134" s="131" t="s">
        <v>95</v>
      </c>
      <c r="Q134" s="124"/>
      <c r="R134" s="124"/>
      <c r="S134" s="137">
        <f>[1]!b_stm07_cs(K107,59,L107,1)</f>
        <v>-2474495128.1300001</v>
      </c>
      <c r="T134" s="135"/>
      <c r="U134" s="135"/>
    </row>
    <row r="135" spans="1:21" ht="32.4" customHeight="1" x14ac:dyDescent="0.25">
      <c r="L135" s="54" t="s">
        <v>96</v>
      </c>
      <c r="M135" s="75">
        <f>[1]!b_stm07_bs(K107,88,L107,1)</f>
        <v>538595878.78999996</v>
      </c>
      <c r="N135" s="54" t="s">
        <v>38</v>
      </c>
      <c r="O135" s="75">
        <f>[1]!b_stm07_is(K107,60,L107,1)</f>
        <v>932091640.39999998</v>
      </c>
      <c r="P135" s="131" t="s">
        <v>97</v>
      </c>
      <c r="Q135" s="124"/>
      <c r="R135" s="124"/>
      <c r="S135" s="136">
        <f>[1]!b_stm07_cs(K107,60,L107,1)</f>
        <v>24900000</v>
      </c>
      <c r="T135" s="135"/>
      <c r="U135" s="135"/>
    </row>
    <row r="136" spans="1:21" ht="21.6" customHeight="1" x14ac:dyDescent="0.25">
      <c r="L136" s="54" t="s">
        <v>98</v>
      </c>
      <c r="M136" s="75">
        <f>[1]!b_stm07_bs(K107,147,L107,1)</f>
        <v>0</v>
      </c>
      <c r="N136" s="54"/>
      <c r="O136" s="80"/>
      <c r="P136" s="131" t="s">
        <v>99</v>
      </c>
      <c r="Q136" s="124"/>
      <c r="R136" s="124"/>
      <c r="S136" s="136">
        <f>[1]!b_stm07_cs(K107,61,L107,1)</f>
        <v>352410961.02999997</v>
      </c>
      <c r="T136" s="135"/>
      <c r="U136" s="135"/>
    </row>
    <row r="137" spans="1:21" x14ac:dyDescent="0.25">
      <c r="L137" s="54" t="s">
        <v>100</v>
      </c>
      <c r="M137" s="75">
        <f>[1]!b_stm07_bs(K107,94,L107,1)</f>
        <v>600000000</v>
      </c>
      <c r="N137" s="54"/>
      <c r="O137" s="80"/>
      <c r="P137" s="131" t="s">
        <v>101</v>
      </c>
      <c r="Q137" s="124"/>
      <c r="R137" s="124"/>
      <c r="S137" s="136">
        <f>[1]!b_stm07_cs(K107,63,L107,1)</f>
        <v>0</v>
      </c>
      <c r="T137" s="135"/>
      <c r="U137" s="135"/>
    </row>
    <row r="138" spans="1:21" x14ac:dyDescent="0.25">
      <c r="L138" s="54" t="s">
        <v>102</v>
      </c>
      <c r="M138" s="75">
        <f>[1]!b_stm07_bs(K107,95,L107,1)</f>
        <v>1099068000</v>
      </c>
      <c r="N138" s="54"/>
      <c r="O138" s="80"/>
      <c r="P138" s="131" t="s">
        <v>103</v>
      </c>
      <c r="Q138" s="124"/>
      <c r="R138" s="124"/>
      <c r="S138" s="137">
        <f>[1]!b_stm07_cs(K107,68,L107,1)</f>
        <v>545132561.02999997</v>
      </c>
      <c r="T138" s="135"/>
      <c r="U138" s="135"/>
    </row>
    <row r="139" spans="1:21" x14ac:dyDescent="0.25">
      <c r="L139" s="54" t="s">
        <v>104</v>
      </c>
      <c r="M139" s="81">
        <f>[1]!b_stm07_bs(K107,128,L107,1)</f>
        <v>9399842140.5699997</v>
      </c>
      <c r="N139" s="14"/>
      <c r="O139" s="13"/>
      <c r="P139" s="131" t="s">
        <v>105</v>
      </c>
      <c r="Q139" s="124"/>
      <c r="R139" s="124"/>
      <c r="S139" s="136">
        <f>[1]!b_stm07_cs(K107,69,L107,1)</f>
        <v>2303326207.75</v>
      </c>
      <c r="T139" s="135"/>
      <c r="U139" s="135"/>
    </row>
    <row r="140" spans="1:21" ht="21.6" customHeight="1" x14ac:dyDescent="0.25">
      <c r="L140" s="54" t="s">
        <v>106</v>
      </c>
      <c r="M140" s="81">
        <f>[1]!b_stm07_bs(K107,141,L107,1)</f>
        <v>10789458307.27</v>
      </c>
      <c r="N140" s="14"/>
      <c r="O140" s="13"/>
      <c r="P140" s="131" t="s">
        <v>107</v>
      </c>
      <c r="Q140" s="124"/>
      <c r="R140" s="124"/>
      <c r="S140" s="136">
        <f>[1]!b_stm07_cs(K107,75,L107,1)</f>
        <v>2814904784</v>
      </c>
      <c r="T140" s="135"/>
      <c r="U140" s="135"/>
    </row>
    <row r="141" spans="1:21" ht="21.6" customHeight="1" x14ac:dyDescent="0.25">
      <c r="L141" s="15" t="s">
        <v>108</v>
      </c>
      <c r="M141" s="81">
        <f>[1]!b_stm07_bs(K107,145,L107,1)</f>
        <v>20189300447.84</v>
      </c>
      <c r="N141" s="14"/>
      <c r="O141" s="13"/>
      <c r="P141" s="131" t="s">
        <v>109</v>
      </c>
      <c r="Q141" s="124"/>
      <c r="R141" s="124"/>
      <c r="S141" s="137">
        <f>[1]!b_stm07_cs(K107,77,L107,1)</f>
        <v>-2269772222.9699998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201</v>
      </c>
      <c r="C2" s="120"/>
      <c r="D2" s="57" t="s">
        <v>3</v>
      </c>
      <c r="E2" s="119" t="s">
        <v>202</v>
      </c>
      <c r="F2" s="120"/>
      <c r="G2" s="120"/>
    </row>
    <row r="3" spans="1:12" ht="14.25" customHeight="1" x14ac:dyDescent="0.25">
      <c r="A3" s="57" t="s">
        <v>4</v>
      </c>
      <c r="B3" s="119" t="s">
        <v>203</v>
      </c>
      <c r="C3" s="120"/>
      <c r="D3" s="57" t="s">
        <v>5</v>
      </c>
      <c r="E3" s="119" t="s">
        <v>204</v>
      </c>
      <c r="F3" s="120"/>
      <c r="G3" s="120"/>
    </row>
    <row r="4" spans="1:12" ht="113.25" customHeight="1" x14ac:dyDescent="0.25">
      <c r="A4" s="57" t="s">
        <v>6</v>
      </c>
      <c r="B4" s="121" t="s">
        <v>205</v>
      </c>
      <c r="C4" s="120"/>
      <c r="D4" s="120"/>
      <c r="E4" s="120"/>
      <c r="F4" s="120"/>
      <c r="G4" s="120"/>
    </row>
    <row r="5" spans="1:12" ht="14.4" x14ac:dyDescent="0.25">
      <c r="A5" s="82" t="s">
        <v>110</v>
      </c>
      <c r="B5" s="140" t="s">
        <v>206</v>
      </c>
      <c r="C5" s="120"/>
      <c r="D5" s="120"/>
      <c r="E5" s="120"/>
      <c r="F5" s="141">
        <v>0.26729999542236327</v>
      </c>
      <c r="G5" s="120"/>
    </row>
    <row r="6" spans="1:12" ht="11.25" customHeight="1" x14ac:dyDescent="0.25">
      <c r="A6" s="82" t="s">
        <v>111</v>
      </c>
      <c r="B6" s="140" t="s">
        <v>207</v>
      </c>
      <c r="C6" s="120"/>
      <c r="D6" s="120"/>
      <c r="E6" s="120"/>
      <c r="F6" s="141">
        <v>0.1125</v>
      </c>
      <c r="G6" s="120"/>
    </row>
    <row r="7" spans="1:12" ht="11.25" customHeight="1" x14ac:dyDescent="0.25">
      <c r="A7" s="82" t="s">
        <v>112</v>
      </c>
      <c r="B7" s="140" t="s">
        <v>208</v>
      </c>
      <c r="C7" s="120"/>
      <c r="D7" s="120"/>
      <c r="E7" s="120"/>
      <c r="F7" s="141">
        <v>7.4999999999999997E-2</v>
      </c>
      <c r="G7" s="120"/>
    </row>
    <row r="8" spans="1:12" ht="11.25" customHeight="1" x14ac:dyDescent="0.25">
      <c r="A8" s="82" t="s">
        <v>113</v>
      </c>
      <c r="B8" s="140" t="s">
        <v>209</v>
      </c>
      <c r="C8" s="120"/>
      <c r="D8" s="120"/>
      <c r="E8" s="120"/>
      <c r="F8" s="141">
        <v>5.7300000190734862E-2</v>
      </c>
      <c r="G8" s="120"/>
    </row>
    <row r="9" spans="1:12" ht="11.25" customHeight="1" x14ac:dyDescent="0.25">
      <c r="A9" s="82" t="s">
        <v>114</v>
      </c>
      <c r="B9" s="140" t="s">
        <v>210</v>
      </c>
      <c r="C9" s="120"/>
      <c r="D9" s="120"/>
      <c r="E9" s="120"/>
      <c r="F9" s="141">
        <v>5.7300000190734862E-2</v>
      </c>
      <c r="G9" s="120"/>
    </row>
    <row r="11" spans="1:12" ht="14.4" customHeight="1" x14ac:dyDescent="0.25">
      <c r="A11" s="142" t="s">
        <v>115</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116</v>
      </c>
      <c r="B13" t="s">
        <v>117</v>
      </c>
      <c r="C13" t="s">
        <v>118</v>
      </c>
      <c r="D13" s="64">
        <v>3.84</v>
      </c>
      <c r="E13" s="64">
        <v>8.4931506849315067E-2</v>
      </c>
      <c r="F13" s="65">
        <v>0</v>
      </c>
      <c r="G13" s="64">
        <v>10</v>
      </c>
    </row>
    <row r="14" spans="1:12" ht="14.4" customHeight="1" x14ac:dyDescent="0.25">
      <c r="A14" t="s">
        <v>119</v>
      </c>
      <c r="B14" t="s">
        <v>117</v>
      </c>
      <c r="C14" t="s">
        <v>120</v>
      </c>
      <c r="D14" s="64">
        <v>4.5</v>
      </c>
      <c r="E14" s="83">
        <v>2.3452054794520549</v>
      </c>
      <c r="F14" t="s">
        <v>25</v>
      </c>
      <c r="G14" s="64">
        <v>5</v>
      </c>
    </row>
    <row r="15" spans="1:12" ht="14.4" customHeight="1" x14ac:dyDescent="0.25">
      <c r="A15" t="s">
        <v>121</v>
      </c>
      <c r="B15" t="s">
        <v>122</v>
      </c>
      <c r="C15" t="s">
        <v>123</v>
      </c>
      <c r="D15" s="64">
        <v>4.9400000000000004</v>
      </c>
      <c r="E15" s="83">
        <v>0</v>
      </c>
      <c r="F15" t="s">
        <v>25</v>
      </c>
      <c r="G15" s="64">
        <v>11</v>
      </c>
    </row>
    <row r="16" spans="1:12" ht="14.4" customHeight="1" x14ac:dyDescent="0.25">
      <c r="A16" t="s">
        <v>124</v>
      </c>
      <c r="B16" t="s">
        <v>122</v>
      </c>
      <c r="C16" t="s">
        <v>125</v>
      </c>
      <c r="D16" s="64">
        <v>5.2</v>
      </c>
      <c r="E16" s="83">
        <v>0.52328767123287667</v>
      </c>
      <c r="F16" t="s">
        <v>25</v>
      </c>
      <c r="G16" s="64">
        <v>11</v>
      </c>
    </row>
    <row r="17" spans="1:7" ht="14.4" customHeight="1" x14ac:dyDescent="0.25">
      <c r="A17" t="s">
        <v>126</v>
      </c>
      <c r="B17" t="s">
        <v>127</v>
      </c>
      <c r="C17" t="s">
        <v>128</v>
      </c>
      <c r="D17" s="64">
        <v>0.5</v>
      </c>
      <c r="E17" s="83">
        <v>0</v>
      </c>
      <c r="F17" t="s">
        <v>146</v>
      </c>
      <c r="G17" s="64">
        <v>8.2100000000000009</v>
      </c>
    </row>
    <row r="18" spans="1:7" ht="14.4" customHeight="1" x14ac:dyDescent="0.25">
      <c r="D18" s="64"/>
      <c r="E18" s="83"/>
      <c r="G18" s="64"/>
    </row>
    <row r="19" spans="1:7" ht="14.4" customHeight="1" x14ac:dyDescent="0.25">
      <c r="D19" s="64"/>
      <c r="E19" s="83"/>
      <c r="G19" s="64"/>
    </row>
    <row r="20" spans="1:7" ht="14.4" customHeight="1" x14ac:dyDescent="0.25">
      <c r="D20" s="64"/>
      <c r="E20" s="83"/>
      <c r="G20" s="64"/>
    </row>
    <row r="21" spans="1:7" ht="14.4" customHeight="1" x14ac:dyDescent="0.25">
      <c r="D21" s="64"/>
      <c r="E21" s="83"/>
      <c r="G21" s="64"/>
    </row>
    <row r="22" spans="1:7" ht="14.4" customHeight="1" x14ac:dyDescent="0.25">
      <c r="D22" s="64"/>
      <c r="E22" s="83"/>
      <c r="G22" s="64"/>
    </row>
    <row r="23" spans="1:7" ht="14.4" customHeight="1" x14ac:dyDescent="0.25">
      <c r="A23" s="143" t="s">
        <v>129</v>
      </c>
      <c r="B23" s="143"/>
      <c r="C23" s="143"/>
      <c r="D23" s="143"/>
      <c r="E23" s="83"/>
      <c r="G23" s="64"/>
    </row>
    <row r="24" spans="1:7" ht="14.4" customHeight="1" x14ac:dyDescent="0.25">
      <c r="A24" s="84" t="s">
        <v>130</v>
      </c>
      <c r="B24" s="84" t="s">
        <v>131</v>
      </c>
      <c r="C24" s="84" t="s">
        <v>132</v>
      </c>
      <c r="D24" s="85" t="s">
        <v>133</v>
      </c>
      <c r="E24" s="83"/>
      <c r="G24" s="64"/>
    </row>
    <row r="25" spans="1:7" ht="14.4" customHeight="1" x14ac:dyDescent="0.25">
      <c r="A25" t="s">
        <v>134</v>
      </c>
      <c r="B25" t="s">
        <v>25</v>
      </c>
      <c r="C25" t="s">
        <v>135</v>
      </c>
      <c r="D25" s="64" t="s">
        <v>136</v>
      </c>
      <c r="E25" s="83"/>
      <c r="G25" s="64"/>
    </row>
    <row r="26" spans="1:7" ht="14.4" customHeight="1" x14ac:dyDescent="0.25">
      <c r="A26" t="s">
        <v>137</v>
      </c>
      <c r="B26" t="s">
        <v>25</v>
      </c>
      <c r="C26" t="s">
        <v>135</v>
      </c>
      <c r="D26" s="64" t="s">
        <v>136</v>
      </c>
      <c r="E26" s="83"/>
      <c r="G26" s="64"/>
    </row>
    <row r="27" spans="1:7" ht="14.4" customHeight="1" x14ac:dyDescent="0.25">
      <c r="A27" t="s">
        <v>138</v>
      </c>
      <c r="B27" t="s">
        <v>25</v>
      </c>
      <c r="C27" t="s">
        <v>135</v>
      </c>
      <c r="D27" s="64" t="s">
        <v>136</v>
      </c>
      <c r="E27" s="83"/>
      <c r="G27" s="64"/>
    </row>
    <row r="28" spans="1:7" ht="14.4" customHeight="1" x14ac:dyDescent="0.25">
      <c r="A28" t="s">
        <v>139</v>
      </c>
      <c r="B28" t="s">
        <v>140</v>
      </c>
      <c r="C28" t="s">
        <v>135</v>
      </c>
      <c r="D28" s="64" t="s">
        <v>136</v>
      </c>
      <c r="E28" s="83"/>
      <c r="G28" s="64"/>
    </row>
    <row r="29" spans="1:7" ht="14.4" customHeight="1" x14ac:dyDescent="0.25">
      <c r="A29" t="s">
        <v>141</v>
      </c>
      <c r="B29" t="s">
        <v>140</v>
      </c>
      <c r="C29" t="s">
        <v>135</v>
      </c>
      <c r="D29" s="64" t="s">
        <v>136</v>
      </c>
      <c r="E29" s="83"/>
      <c r="G29" s="64"/>
    </row>
    <row r="30" spans="1:7" ht="14.4" customHeight="1" x14ac:dyDescent="0.25">
      <c r="A30" t="s">
        <v>142</v>
      </c>
      <c r="B30" t="s">
        <v>140</v>
      </c>
      <c r="C30" t="s">
        <v>135</v>
      </c>
      <c r="D30" s="64" t="s">
        <v>136</v>
      </c>
      <c r="E30" s="83"/>
      <c r="G30" s="64"/>
    </row>
    <row r="31" spans="1:7" ht="14.4" customHeight="1" x14ac:dyDescent="0.25">
      <c r="A31" t="s">
        <v>143</v>
      </c>
      <c r="B31" t="s">
        <v>140</v>
      </c>
      <c r="C31" t="s">
        <v>135</v>
      </c>
      <c r="D31" s="64" t="s">
        <v>136</v>
      </c>
      <c r="E31" s="83"/>
      <c r="G31" s="64"/>
    </row>
    <row r="32" spans="1:7" ht="14.4" customHeight="1" x14ac:dyDescent="0.25">
      <c r="A32" t="s">
        <v>144</v>
      </c>
      <c r="B32" t="s">
        <v>140</v>
      </c>
      <c r="C32" t="s">
        <v>135</v>
      </c>
      <c r="D32" s="64" t="s">
        <v>136</v>
      </c>
      <c r="E32" s="83"/>
      <c r="G32" s="64"/>
    </row>
    <row r="33" spans="1:7" ht="14.4" customHeight="1" x14ac:dyDescent="0.25">
      <c r="A33" t="s">
        <v>145</v>
      </c>
      <c r="B33" t="s">
        <v>146</v>
      </c>
      <c r="C33" t="s">
        <v>135</v>
      </c>
      <c r="D33" s="64" t="s">
        <v>147</v>
      </c>
      <c r="E33" s="83"/>
      <c r="G33" s="64"/>
    </row>
    <row r="34" spans="1:7" ht="14.4" customHeight="1" x14ac:dyDescent="0.25">
      <c r="A34" t="s">
        <v>148</v>
      </c>
      <c r="B34" t="s">
        <v>146</v>
      </c>
      <c r="C34" t="s">
        <v>135</v>
      </c>
      <c r="D34" s="64" t="s">
        <v>147</v>
      </c>
      <c r="E34" s="83"/>
      <c r="G34" s="64"/>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149</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3:D2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27" sqref="D27"/>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49</v>
      </c>
      <c r="B1" s="120"/>
      <c r="C1" s="120"/>
      <c r="D1" s="120"/>
      <c r="E1" s="120"/>
      <c r="F1" s="120"/>
      <c r="G1" s="120"/>
      <c r="H1" s="120"/>
      <c r="I1" s="120"/>
      <c r="J1" s="120"/>
    </row>
    <row r="2" spans="1:10" x14ac:dyDescent="0.25">
      <c r="A2" s="142" t="s">
        <v>50</v>
      </c>
      <c r="B2" s="120"/>
      <c r="C2" s="120"/>
      <c r="D2" s="120"/>
      <c r="E2" s="120"/>
      <c r="F2" s="120"/>
      <c r="G2" s="145">
        <v>2017</v>
      </c>
      <c r="H2" s="120"/>
      <c r="I2" s="120"/>
      <c r="J2" s="120"/>
    </row>
    <row r="3" spans="1:10" ht="12.75" customHeight="1" x14ac:dyDescent="0.25">
      <c r="A3" s="142" t="s">
        <v>51</v>
      </c>
      <c r="B3" s="120"/>
      <c r="C3" s="142" t="s">
        <v>52</v>
      </c>
      <c r="D3" s="120"/>
      <c r="E3" s="142" t="s">
        <v>53</v>
      </c>
      <c r="F3" s="120"/>
      <c r="G3" s="142" t="s">
        <v>54</v>
      </c>
      <c r="H3" s="120"/>
      <c r="I3" s="142" t="s">
        <v>55</v>
      </c>
      <c r="J3" s="120"/>
    </row>
    <row r="4" spans="1:10" ht="21.6" customHeight="1" x14ac:dyDescent="0.25">
      <c r="A4" s="57" t="s">
        <v>56</v>
      </c>
      <c r="B4" s="86">
        <v>0.46558500000000003</v>
      </c>
      <c r="C4" s="57" t="s">
        <v>32</v>
      </c>
      <c r="D4" s="87">
        <v>1.111</v>
      </c>
      <c r="E4" s="57" t="s">
        <v>36</v>
      </c>
      <c r="F4" s="86">
        <v>1.1244000000000001</v>
      </c>
      <c r="G4" s="57" t="s">
        <v>37</v>
      </c>
      <c r="H4" s="86">
        <v>0.20715699999999998</v>
      </c>
      <c r="I4" s="57"/>
      <c r="J4" s="88"/>
    </row>
    <row r="5" spans="1:10" ht="15.75" customHeight="1" x14ac:dyDescent="0.25">
      <c r="A5" s="57" t="s">
        <v>57</v>
      </c>
      <c r="B5" s="86">
        <v>0.39921599999999996</v>
      </c>
      <c r="C5" s="57" t="s">
        <v>58</v>
      </c>
      <c r="D5" s="87">
        <v>1.0049999999999999</v>
      </c>
      <c r="E5" s="57" t="s">
        <v>59</v>
      </c>
      <c r="F5" s="87">
        <v>126.7077</v>
      </c>
      <c r="G5" s="57" t="s">
        <v>60</v>
      </c>
      <c r="H5" s="86">
        <v>5.1195000000000004E-2</v>
      </c>
      <c r="I5" s="57"/>
      <c r="J5" s="88"/>
    </row>
    <row r="6" spans="1:10" ht="15" customHeight="1" x14ac:dyDescent="0.25">
      <c r="A6" s="57" t="s">
        <v>61</v>
      </c>
      <c r="B6" s="86">
        <v>0.771791</v>
      </c>
      <c r="C6" s="57" t="s">
        <v>34</v>
      </c>
      <c r="D6" s="89">
        <v>0.20280000000000001</v>
      </c>
      <c r="E6" s="57" t="s">
        <v>62</v>
      </c>
      <c r="F6" s="87">
        <v>35.544800000000002</v>
      </c>
      <c r="G6" s="57" t="s">
        <v>40</v>
      </c>
      <c r="H6" s="86">
        <v>8.8567999999999994E-2</v>
      </c>
      <c r="I6" s="57"/>
      <c r="J6" s="88"/>
    </row>
    <row r="7" spans="1:10" ht="14.25" customHeight="1" x14ac:dyDescent="0.25">
      <c r="A7" s="57" t="s">
        <v>33</v>
      </c>
      <c r="B7" s="89">
        <v>0.20844429235567927</v>
      </c>
      <c r="C7" s="57" t="s">
        <v>63</v>
      </c>
      <c r="D7" s="89">
        <v>0</v>
      </c>
      <c r="E7" s="57" t="s">
        <v>64</v>
      </c>
      <c r="F7" s="87">
        <v>2.8593999999999999</v>
      </c>
      <c r="G7" s="57" t="s">
        <v>65</v>
      </c>
      <c r="H7" s="86">
        <v>6.6645999999999997E-2</v>
      </c>
      <c r="I7" s="57"/>
      <c r="J7" s="88"/>
    </row>
    <row r="8" spans="1:10" x14ac:dyDescent="0.25">
      <c r="A8" s="57"/>
      <c r="B8" s="90"/>
      <c r="C8" s="57"/>
      <c r="D8" s="91"/>
      <c r="E8" s="57" t="s">
        <v>66</v>
      </c>
      <c r="F8" s="87">
        <v>1.3736999999999999</v>
      </c>
      <c r="G8" s="57"/>
      <c r="H8" s="90"/>
      <c r="I8" s="57"/>
      <c r="J8" s="90"/>
    </row>
    <row r="9" spans="1:10" ht="13.5" customHeight="1" x14ac:dyDescent="0.25">
      <c r="A9" s="144" t="s">
        <v>67</v>
      </c>
      <c r="B9" s="120"/>
      <c r="C9" s="120"/>
      <c r="D9" s="120"/>
      <c r="E9" s="120"/>
      <c r="F9" s="120"/>
      <c r="G9" s="120"/>
      <c r="H9" s="120"/>
      <c r="I9" s="120"/>
      <c r="J9" s="120"/>
    </row>
    <row r="10" spans="1:10" ht="13.5" customHeight="1" x14ac:dyDescent="0.25">
      <c r="A10" s="142" t="s">
        <v>68</v>
      </c>
      <c r="B10" s="120"/>
      <c r="C10" s="120"/>
      <c r="D10" s="120"/>
      <c r="E10" s="120"/>
      <c r="F10" s="120"/>
      <c r="G10" s="146">
        <v>2017</v>
      </c>
      <c r="H10" s="120"/>
      <c r="I10" s="120"/>
      <c r="J10" s="120"/>
    </row>
    <row r="11" spans="1:10" x14ac:dyDescent="0.25">
      <c r="A11" s="142" t="s">
        <v>69</v>
      </c>
      <c r="B11" s="120"/>
      <c r="C11" s="142" t="s">
        <v>70</v>
      </c>
      <c r="D11" s="120"/>
      <c r="E11" s="142" t="s">
        <v>71</v>
      </c>
      <c r="F11" s="120"/>
      <c r="G11" s="120"/>
      <c r="H11" s="120"/>
      <c r="I11" s="120"/>
      <c r="J11" s="120"/>
    </row>
    <row r="12" spans="1:10" ht="14.25" customHeight="1" x14ac:dyDescent="0.25">
      <c r="A12" s="57" t="s">
        <v>72</v>
      </c>
      <c r="B12" s="92">
        <v>60.313110225000003</v>
      </c>
      <c r="C12" s="57" t="s">
        <v>73</v>
      </c>
      <c r="D12" s="89">
        <v>260.8522492244</v>
      </c>
      <c r="E12" s="147" t="s">
        <v>74</v>
      </c>
      <c r="F12" s="120"/>
      <c r="G12" s="120"/>
      <c r="H12" s="148">
        <v>293.29985751949999</v>
      </c>
      <c r="I12" s="120"/>
      <c r="J12" s="120"/>
    </row>
    <row r="13" spans="1:10" ht="14.25" customHeight="1" x14ac:dyDescent="0.25">
      <c r="A13" s="57" t="s">
        <v>75</v>
      </c>
      <c r="B13" s="92">
        <v>2.4284567233000001</v>
      </c>
      <c r="C13" s="57" t="s">
        <v>76</v>
      </c>
      <c r="D13" s="89">
        <v>247.48689910259998</v>
      </c>
      <c r="E13" s="147" t="s">
        <v>77</v>
      </c>
      <c r="F13" s="120"/>
      <c r="G13" s="120"/>
      <c r="H13" s="148">
        <v>4.6277938581999996</v>
      </c>
      <c r="I13" s="120"/>
      <c r="J13" s="120"/>
    </row>
    <row r="14" spans="1:10" ht="14.25" customHeight="1" x14ac:dyDescent="0.25">
      <c r="A14" s="57" t="s">
        <v>78</v>
      </c>
      <c r="B14" s="92">
        <v>2.3976350472000001</v>
      </c>
      <c r="C14" s="57" t="s">
        <v>79</v>
      </c>
      <c r="D14" s="89">
        <v>206.8148282514</v>
      </c>
      <c r="E14" s="147" t="s">
        <v>80</v>
      </c>
      <c r="F14" s="120"/>
      <c r="G14" s="120"/>
      <c r="H14" s="148">
        <v>298.05232178540001</v>
      </c>
      <c r="I14" s="120"/>
      <c r="J14" s="120"/>
    </row>
    <row r="15" spans="1:10" ht="14.25" customHeight="1" x14ac:dyDescent="0.25">
      <c r="A15" s="57" t="s">
        <v>81</v>
      </c>
      <c r="B15" s="92">
        <v>46.446546586899998</v>
      </c>
      <c r="C15" s="57" t="s">
        <v>82</v>
      </c>
      <c r="D15" s="89">
        <v>28.5921385348</v>
      </c>
      <c r="E15" s="147" t="s">
        <v>83</v>
      </c>
      <c r="F15" s="120"/>
      <c r="G15" s="120"/>
      <c r="H15" s="148">
        <v>231.40256243389999</v>
      </c>
      <c r="I15" s="120"/>
      <c r="J15" s="120"/>
    </row>
    <row r="16" spans="1:10" ht="14.25" customHeight="1" x14ac:dyDescent="0.25">
      <c r="A16" s="57" t="s">
        <v>84</v>
      </c>
      <c r="B16" s="92">
        <v>0.24377902199999998</v>
      </c>
      <c r="C16" s="57" t="s">
        <v>85</v>
      </c>
      <c r="D16" s="89">
        <v>9.5631533470000001</v>
      </c>
      <c r="E16" s="147" t="s">
        <v>86</v>
      </c>
      <c r="F16" s="120"/>
      <c r="G16" s="120"/>
      <c r="H16" s="148">
        <v>21.285670177</v>
      </c>
      <c r="I16" s="120"/>
      <c r="J16" s="120"/>
    </row>
    <row r="17" spans="1:10" ht="14.25" customHeight="1" x14ac:dyDescent="0.25">
      <c r="A17" s="57" t="s">
        <v>87</v>
      </c>
      <c r="B17" s="92">
        <v>9.878970475900001</v>
      </c>
      <c r="C17" s="57" t="s">
        <v>88</v>
      </c>
      <c r="D17" s="89">
        <v>-0.14946098390000001</v>
      </c>
      <c r="E17" s="147" t="s">
        <v>89</v>
      </c>
      <c r="F17" s="120"/>
      <c r="G17" s="120"/>
      <c r="H17" s="148">
        <v>277.47576140709998</v>
      </c>
      <c r="I17" s="120"/>
      <c r="J17" s="120"/>
    </row>
    <row r="18" spans="1:10" ht="14.25" customHeight="1" x14ac:dyDescent="0.25">
      <c r="A18" s="57" t="s">
        <v>90</v>
      </c>
      <c r="B18" s="92">
        <v>201.8930044784</v>
      </c>
      <c r="C18" s="57" t="s">
        <v>91</v>
      </c>
      <c r="D18" s="89">
        <v>13.3543641837</v>
      </c>
      <c r="E18" s="147" t="s">
        <v>92</v>
      </c>
      <c r="F18" s="120"/>
      <c r="G18" s="120"/>
      <c r="H18" s="148">
        <v>20.576560378299998</v>
      </c>
      <c r="I18" s="120"/>
      <c r="J18" s="120"/>
    </row>
    <row r="19" spans="1:10" ht="14.25" customHeight="1" x14ac:dyDescent="0.25">
      <c r="A19" s="57" t="s">
        <v>93</v>
      </c>
      <c r="B19" s="92">
        <v>0</v>
      </c>
      <c r="C19" s="57" t="s">
        <v>94</v>
      </c>
      <c r="D19" s="89">
        <v>13.433625595999999</v>
      </c>
      <c r="E19" s="147" t="s">
        <v>95</v>
      </c>
      <c r="F19" s="120"/>
      <c r="G19" s="120"/>
      <c r="H19" s="148">
        <v>-24.744951281300001</v>
      </c>
      <c r="I19" s="120"/>
      <c r="J19" s="120"/>
    </row>
    <row r="20" spans="1:10" ht="27" customHeight="1" x14ac:dyDescent="0.25">
      <c r="A20" s="57" t="s">
        <v>96</v>
      </c>
      <c r="B20" s="92">
        <v>5.3859587878999999</v>
      </c>
      <c r="C20" s="57" t="s">
        <v>38</v>
      </c>
      <c r="D20" s="89">
        <v>9.3209164040000001</v>
      </c>
      <c r="E20" s="147" t="s">
        <v>97</v>
      </c>
      <c r="F20" s="120"/>
      <c r="G20" s="120"/>
      <c r="H20" s="148">
        <v>0.249</v>
      </c>
      <c r="I20" s="120"/>
      <c r="J20" s="120"/>
    </row>
    <row r="21" spans="1:10" ht="16.5" customHeight="1" x14ac:dyDescent="0.25">
      <c r="A21" s="57" t="s">
        <v>98</v>
      </c>
      <c r="B21" s="92">
        <v>0</v>
      </c>
      <c r="C21" s="57"/>
      <c r="D21" s="93"/>
      <c r="E21" s="147" t="s">
        <v>99</v>
      </c>
      <c r="F21" s="120"/>
      <c r="G21" s="120"/>
      <c r="H21" s="148">
        <v>3.5241096102999996</v>
      </c>
      <c r="I21" s="120"/>
      <c r="J21" s="120"/>
    </row>
    <row r="22" spans="1:10" ht="14.25" customHeight="1" x14ac:dyDescent="0.25">
      <c r="A22" s="57" t="s">
        <v>100</v>
      </c>
      <c r="B22" s="92">
        <v>6</v>
      </c>
      <c r="C22" s="57"/>
      <c r="D22" s="93"/>
      <c r="E22" s="147" t="s">
        <v>101</v>
      </c>
      <c r="F22" s="120"/>
      <c r="G22" s="120"/>
      <c r="H22" s="148">
        <v>0</v>
      </c>
      <c r="I22" s="120"/>
      <c r="J22" s="120"/>
    </row>
    <row r="23" spans="1:10" ht="14.25" customHeight="1" x14ac:dyDescent="0.25">
      <c r="A23" s="57" t="s">
        <v>102</v>
      </c>
      <c r="B23" s="92">
        <v>10.990679999999999</v>
      </c>
      <c r="C23" s="57"/>
      <c r="D23" s="93"/>
      <c r="E23" s="147" t="s">
        <v>103</v>
      </c>
      <c r="F23" s="120"/>
      <c r="G23" s="120"/>
      <c r="H23" s="148">
        <v>5.4513256102999996</v>
      </c>
      <c r="I23" s="120"/>
      <c r="J23" s="120"/>
    </row>
    <row r="24" spans="1:10" ht="14.25" customHeight="1" x14ac:dyDescent="0.25">
      <c r="A24" s="57" t="s">
        <v>104</v>
      </c>
      <c r="B24" s="92">
        <v>93.9984214057</v>
      </c>
      <c r="C24" s="94"/>
      <c r="D24" s="91"/>
      <c r="E24" s="147" t="s">
        <v>105</v>
      </c>
      <c r="F24" s="120"/>
      <c r="G24" s="120"/>
      <c r="H24" s="148">
        <v>23.033262077500002</v>
      </c>
      <c r="I24" s="120"/>
      <c r="J24" s="120"/>
    </row>
    <row r="25" spans="1:10" ht="14.25" customHeight="1" x14ac:dyDescent="0.25">
      <c r="A25" s="57" t="s">
        <v>106</v>
      </c>
      <c r="B25" s="92">
        <v>107.8945830727</v>
      </c>
      <c r="C25" s="94"/>
      <c r="D25" s="91"/>
      <c r="E25" s="147" t="s">
        <v>107</v>
      </c>
      <c r="F25" s="120"/>
      <c r="G25" s="120"/>
      <c r="H25" s="148">
        <v>28.149047840000001</v>
      </c>
      <c r="I25" s="120"/>
      <c r="J25" s="120"/>
    </row>
    <row r="26" spans="1:10" ht="14.25" customHeight="1" x14ac:dyDescent="0.25">
      <c r="A26" s="95" t="s">
        <v>108</v>
      </c>
      <c r="B26" s="92">
        <v>201.8930044784</v>
      </c>
      <c r="C26" s="94"/>
      <c r="D26" s="91"/>
      <c r="E26" s="147" t="s">
        <v>109</v>
      </c>
      <c r="F26" s="120"/>
      <c r="G26" s="120"/>
      <c r="H26" s="148">
        <v>-22.697722229699998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150</v>
      </c>
      <c r="B1" s="124"/>
      <c r="C1" s="124"/>
      <c r="D1" s="124"/>
      <c r="E1" s="124"/>
      <c r="F1" s="124"/>
      <c r="G1" s="124"/>
      <c r="H1" s="124"/>
      <c r="I1" s="124"/>
    </row>
    <row r="2" spans="1:10" ht="46.5" customHeight="1" x14ac:dyDescent="0.25">
      <c r="A2" s="54" t="s">
        <v>22</v>
      </c>
      <c r="B2" s="43" t="s">
        <v>201</v>
      </c>
      <c r="C2" s="43" t="s">
        <v>151</v>
      </c>
      <c r="D2" s="43" t="s">
        <v>211</v>
      </c>
      <c r="E2" s="43" t="s">
        <v>212</v>
      </c>
      <c r="F2" s="43" t="s">
        <v>213</v>
      </c>
      <c r="G2" s="43" t="s">
        <v>213</v>
      </c>
      <c r="H2" s="43" t="s">
        <v>213</v>
      </c>
      <c r="I2" s="43" t="s">
        <v>213</v>
      </c>
      <c r="J2" s="43" t="s">
        <v>213</v>
      </c>
    </row>
    <row r="3" spans="1:10" x14ac:dyDescent="0.25">
      <c r="A3" s="54" t="s">
        <v>24</v>
      </c>
      <c r="B3" s="97" t="s">
        <v>25</v>
      </c>
      <c r="C3" s="98" t="s">
        <v>152</v>
      </c>
      <c r="D3" s="97" t="s">
        <v>25</v>
      </c>
      <c r="E3" s="97" t="s">
        <v>25</v>
      </c>
      <c r="F3" s="97" t="s">
        <v>213</v>
      </c>
      <c r="G3" s="97" t="s">
        <v>213</v>
      </c>
      <c r="H3" s="97" t="s">
        <v>213</v>
      </c>
      <c r="I3" s="97" t="s">
        <v>213</v>
      </c>
      <c r="J3" s="97" t="s">
        <v>213</v>
      </c>
    </row>
    <row r="4" spans="1:10" s="7" customFormat="1" ht="21.6" x14ac:dyDescent="0.25">
      <c r="A4" s="9" t="s">
        <v>3</v>
      </c>
      <c r="B4" s="99" t="s">
        <v>202</v>
      </c>
      <c r="C4" s="98" t="s">
        <v>152</v>
      </c>
      <c r="D4" s="99" t="s">
        <v>202</v>
      </c>
      <c r="E4" s="99" t="s">
        <v>202</v>
      </c>
      <c r="F4" s="99" t="s">
        <v>213</v>
      </c>
      <c r="G4" s="99" t="s">
        <v>213</v>
      </c>
      <c r="H4" s="99" t="s">
        <v>213</v>
      </c>
      <c r="I4" s="99" t="s">
        <v>213</v>
      </c>
      <c r="J4" s="99" t="s">
        <v>213</v>
      </c>
    </row>
    <row r="5" spans="1:10" s="7" customFormat="1" x14ac:dyDescent="0.25">
      <c r="A5" s="9" t="s">
        <v>28</v>
      </c>
      <c r="B5" s="100" t="s">
        <v>29</v>
      </c>
      <c r="C5" s="98" t="s">
        <v>152</v>
      </c>
      <c r="D5" s="100" t="s">
        <v>29</v>
      </c>
      <c r="E5" s="100" t="s">
        <v>29</v>
      </c>
      <c r="F5" s="100" t="s">
        <v>213</v>
      </c>
      <c r="G5" s="100" t="s">
        <v>213</v>
      </c>
      <c r="H5" s="100" t="s">
        <v>213</v>
      </c>
      <c r="I5" s="100" t="s">
        <v>213</v>
      </c>
      <c r="J5" s="100" t="s">
        <v>213</v>
      </c>
    </row>
    <row r="6" spans="1:10" x14ac:dyDescent="0.25">
      <c r="A6" s="54" t="s">
        <v>30</v>
      </c>
      <c r="B6" s="101">
        <v>201.8930044784</v>
      </c>
      <c r="C6" s="98">
        <v>518.73332288670008</v>
      </c>
      <c r="D6" s="101">
        <v>811.62092797820003</v>
      </c>
      <c r="E6" s="101">
        <v>225.84571779520002</v>
      </c>
      <c r="F6" s="101" t="s">
        <v>213</v>
      </c>
      <c r="G6" s="101" t="s">
        <v>213</v>
      </c>
      <c r="H6" s="101" t="s">
        <v>213</v>
      </c>
      <c r="I6" s="101" t="s">
        <v>213</v>
      </c>
      <c r="J6" s="101" t="s">
        <v>213</v>
      </c>
    </row>
    <row r="7" spans="1:10" x14ac:dyDescent="0.25">
      <c r="A7" s="54" t="s">
        <v>31</v>
      </c>
      <c r="B7" s="44">
        <v>0.46558500000000003</v>
      </c>
      <c r="C7" s="98">
        <v>0.57320150000000003</v>
      </c>
      <c r="D7" s="44">
        <v>0.61461900000000003</v>
      </c>
      <c r="E7" s="44">
        <v>0.53178400000000003</v>
      </c>
      <c r="F7" s="44" t="s">
        <v>213</v>
      </c>
      <c r="G7" s="44" t="s">
        <v>213</v>
      </c>
      <c r="H7" s="44" t="s">
        <v>213</v>
      </c>
      <c r="I7" s="44" t="s">
        <v>213</v>
      </c>
      <c r="J7" s="44" t="s">
        <v>213</v>
      </c>
    </row>
    <row r="8" spans="1:10" x14ac:dyDescent="0.25">
      <c r="A8" s="54" t="s">
        <v>32</v>
      </c>
      <c r="B8" s="101">
        <v>1.111</v>
      </c>
      <c r="C8" s="98">
        <v>1.1156000000000001</v>
      </c>
      <c r="D8" s="101">
        <v>0.82430000000000003</v>
      </c>
      <c r="E8" s="101">
        <v>1.4069</v>
      </c>
      <c r="F8" s="101" t="s">
        <v>213</v>
      </c>
      <c r="G8" s="101" t="s">
        <v>213</v>
      </c>
      <c r="H8" s="101" t="s">
        <v>213</v>
      </c>
      <c r="I8" s="101" t="s">
        <v>213</v>
      </c>
      <c r="J8" s="101" t="s">
        <v>213</v>
      </c>
    </row>
    <row r="9" spans="1:10" x14ac:dyDescent="0.25">
      <c r="A9" s="54" t="s">
        <v>33</v>
      </c>
      <c r="B9" s="97">
        <v>0.20844429235567927</v>
      </c>
      <c r="C9" s="98">
        <v>0.42828369670775945</v>
      </c>
      <c r="D9" s="97">
        <v>0.35337849497336288</v>
      </c>
      <c r="E9" s="97">
        <v>0.50318889844215609</v>
      </c>
      <c r="F9" s="97" t="s">
        <v>213</v>
      </c>
      <c r="G9" s="97" t="s">
        <v>213</v>
      </c>
      <c r="H9" s="97" t="s">
        <v>213</v>
      </c>
      <c r="I9" s="97" t="s">
        <v>213</v>
      </c>
      <c r="J9" s="97" t="s">
        <v>213</v>
      </c>
    </row>
    <row r="10" spans="1:10" ht="21.6" customHeight="1" x14ac:dyDescent="0.25">
      <c r="A10" s="54" t="s">
        <v>34</v>
      </c>
      <c r="B10" s="101">
        <v>0.20280000000000001</v>
      </c>
      <c r="C10" s="98">
        <v>0.10319999999999999</v>
      </c>
      <c r="D10" s="101">
        <v>6.4399999999999999E-2</v>
      </c>
      <c r="E10" s="101">
        <v>0.14199999999999999</v>
      </c>
      <c r="F10" s="101" t="s">
        <v>213</v>
      </c>
      <c r="G10" s="101" t="s">
        <v>213</v>
      </c>
      <c r="H10" s="101" t="s">
        <v>213</v>
      </c>
      <c r="I10" s="101" t="s">
        <v>213</v>
      </c>
      <c r="J10" s="101" t="s">
        <v>213</v>
      </c>
    </row>
    <row r="11" spans="1:10" x14ac:dyDescent="0.25">
      <c r="A11" s="54" t="s">
        <v>35</v>
      </c>
      <c r="B11" s="101">
        <v>260.8522492244</v>
      </c>
      <c r="C11" s="98">
        <v>362.74424934995</v>
      </c>
      <c r="D11" s="101">
        <v>603.53836157069998</v>
      </c>
      <c r="E11" s="101">
        <v>121.9501371292</v>
      </c>
      <c r="F11" s="101" t="s">
        <v>213</v>
      </c>
      <c r="G11" s="101" t="s">
        <v>213</v>
      </c>
      <c r="H11" s="101" t="s">
        <v>213</v>
      </c>
      <c r="I11" s="101" t="s">
        <v>213</v>
      </c>
      <c r="J11" s="101" t="s">
        <v>213</v>
      </c>
    </row>
    <row r="12" spans="1:10" s="7" customFormat="1" x14ac:dyDescent="0.25">
      <c r="A12" s="9" t="s">
        <v>36</v>
      </c>
      <c r="B12" s="45">
        <v>1.1244000000000001</v>
      </c>
      <c r="C12" s="98">
        <v>1.22</v>
      </c>
      <c r="D12" s="45">
        <v>1.3087</v>
      </c>
      <c r="E12" s="45">
        <v>1.1313</v>
      </c>
      <c r="F12" s="45" t="s">
        <v>213</v>
      </c>
      <c r="G12" s="45" t="s">
        <v>213</v>
      </c>
      <c r="H12" s="45" t="s">
        <v>213</v>
      </c>
      <c r="I12" s="45" t="s">
        <v>213</v>
      </c>
      <c r="J12" s="45" t="s">
        <v>213</v>
      </c>
    </row>
    <row r="13" spans="1:10" s="7" customFormat="1" x14ac:dyDescent="0.25">
      <c r="A13" s="9" t="s">
        <v>37</v>
      </c>
      <c r="B13" s="45">
        <v>0.20715699999999998</v>
      </c>
      <c r="C13" s="98">
        <v>0.2297515</v>
      </c>
      <c r="D13" s="45">
        <v>0.19153199999999998</v>
      </c>
      <c r="E13" s="45">
        <v>0.26797100000000001</v>
      </c>
      <c r="F13" s="45" t="s">
        <v>213</v>
      </c>
      <c r="G13" s="45" t="s">
        <v>213</v>
      </c>
      <c r="H13" s="45" t="s">
        <v>213</v>
      </c>
      <c r="I13" s="45" t="s">
        <v>213</v>
      </c>
      <c r="J13" s="45" t="s">
        <v>213</v>
      </c>
    </row>
    <row r="14" spans="1:10" s="7" customFormat="1" x14ac:dyDescent="0.25">
      <c r="A14" s="9" t="s">
        <v>38</v>
      </c>
      <c r="B14" s="102">
        <v>9.3209164040000001</v>
      </c>
      <c r="C14" s="98">
        <v>8.2641528224999998</v>
      </c>
      <c r="D14" s="102">
        <v>6.6536383521000007</v>
      </c>
      <c r="E14" s="102">
        <v>9.8746672928999999</v>
      </c>
      <c r="F14" s="102" t="s">
        <v>213</v>
      </c>
      <c r="G14" s="102" t="s">
        <v>213</v>
      </c>
      <c r="H14" s="102" t="s">
        <v>213</v>
      </c>
      <c r="I14" s="102" t="s">
        <v>213</v>
      </c>
      <c r="J14" s="102" t="s">
        <v>213</v>
      </c>
    </row>
    <row r="15" spans="1:10" x14ac:dyDescent="0.25">
      <c r="A15" s="54" t="s">
        <v>40</v>
      </c>
      <c r="B15" s="44">
        <v>8.8567999999999994E-2</v>
      </c>
      <c r="C15" s="98">
        <v>5.8589000000000002E-2</v>
      </c>
      <c r="D15" s="44">
        <v>1.9740000000000001E-2</v>
      </c>
      <c r="E15" s="44">
        <v>9.7437999999999997E-2</v>
      </c>
      <c r="F15" s="44" t="s">
        <v>213</v>
      </c>
      <c r="G15" s="44" t="s">
        <v>213</v>
      </c>
      <c r="H15" s="44" t="s">
        <v>213</v>
      </c>
      <c r="I15" s="44" t="s">
        <v>213</v>
      </c>
      <c r="J15" s="44" t="s">
        <v>213</v>
      </c>
    </row>
    <row r="16" spans="1:10" s="7" customFormat="1" ht="25.8" customHeight="1" x14ac:dyDescent="0.25">
      <c r="A16" s="9" t="s">
        <v>41</v>
      </c>
      <c r="B16" s="102">
        <v>20.576560378299998</v>
      </c>
      <c r="C16" s="98">
        <v>23.048430048149999</v>
      </c>
      <c r="D16" s="102">
        <v>31.0351855557</v>
      </c>
      <c r="E16" s="102">
        <v>15.061674540599999</v>
      </c>
      <c r="F16" s="102" t="s">
        <v>213</v>
      </c>
      <c r="G16" s="102" t="s">
        <v>213</v>
      </c>
      <c r="H16" s="102" t="s">
        <v>213</v>
      </c>
      <c r="I16" s="102" t="s">
        <v>213</v>
      </c>
      <c r="J16" s="102" t="s">
        <v>213</v>
      </c>
    </row>
    <row r="17" spans="1:10" x14ac:dyDescent="0.25">
      <c r="A17" s="54" t="s">
        <v>55</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153</v>
      </c>
      <c r="B1" s="124"/>
      <c r="C1" s="124"/>
      <c r="D1" s="124"/>
      <c r="E1" s="124"/>
      <c r="F1" s="124"/>
    </row>
    <row r="2" spans="1:6" x14ac:dyDescent="0.25">
      <c r="A2" s="51" t="s">
        <v>154</v>
      </c>
      <c r="B2" s="50" t="s">
        <v>155</v>
      </c>
      <c r="C2" s="50" t="s">
        <v>156</v>
      </c>
      <c r="D2" s="50" t="s">
        <v>157</v>
      </c>
      <c r="E2" s="50" t="s">
        <v>133</v>
      </c>
      <c r="F2" s="50" t="s">
        <v>158</v>
      </c>
    </row>
    <row r="3" spans="1:6" ht="48" customHeight="1" x14ac:dyDescent="0.25">
      <c r="A3" s="104">
        <v>43318</v>
      </c>
      <c r="B3" s="52" t="s">
        <v>159</v>
      </c>
      <c r="C3" s="105" t="s">
        <v>160</v>
      </c>
      <c r="D3" s="105"/>
      <c r="E3" s="52" t="s">
        <v>161</v>
      </c>
      <c r="F3" s="105"/>
    </row>
    <row r="4" spans="1:6" ht="49.5" customHeight="1" x14ac:dyDescent="0.25">
      <c r="A4" s="104">
        <v>43307</v>
      </c>
      <c r="B4" s="52" t="s">
        <v>162</v>
      </c>
      <c r="C4" s="105" t="s">
        <v>163</v>
      </c>
      <c r="D4" s="105"/>
      <c r="E4" s="52" t="s">
        <v>164</v>
      </c>
      <c r="F4" s="105" t="s">
        <v>165</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166</v>
      </c>
      <c r="B20" s="143"/>
      <c r="C20" s="143"/>
      <c r="D20" s="143"/>
      <c r="E20" s="143"/>
      <c r="F20" s="143"/>
    </row>
    <row r="21" spans="1:6" x14ac:dyDescent="0.25">
      <c r="A21" s="84" t="s">
        <v>154</v>
      </c>
      <c r="B21" s="84" t="s">
        <v>155</v>
      </c>
      <c r="C21" s="84" t="s">
        <v>167</v>
      </c>
      <c r="D21" s="84" t="s">
        <v>168</v>
      </c>
      <c r="E21" s="84" t="s">
        <v>133</v>
      </c>
      <c r="F21" s="84" t="s">
        <v>158</v>
      </c>
    </row>
    <row r="22" spans="1:6" x14ac:dyDescent="0.25">
      <c r="A22" s="107">
        <v>43447</v>
      </c>
      <c r="B22" s="58" t="s">
        <v>169</v>
      </c>
      <c r="C22" s="108" t="s">
        <v>170</v>
      </c>
      <c r="D22" s="108"/>
      <c r="E22" s="58" t="s">
        <v>171</v>
      </c>
      <c r="F22" s="108" t="s">
        <v>172</v>
      </c>
    </row>
    <row r="23" spans="1:6" x14ac:dyDescent="0.25">
      <c r="A23" s="107">
        <v>43445</v>
      </c>
      <c r="B23" s="58" t="s">
        <v>173</v>
      </c>
      <c r="C23" s="108" t="s">
        <v>174</v>
      </c>
      <c r="D23" s="108"/>
      <c r="E23" s="58" t="s">
        <v>164</v>
      </c>
      <c r="F23" s="108" t="s">
        <v>175</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176</v>
      </c>
      <c r="B1" s="124"/>
      <c r="C1" s="124"/>
      <c r="D1" s="124"/>
      <c r="E1" s="124"/>
      <c r="F1" s="124"/>
      <c r="G1" s="124"/>
      <c r="H1" s="124"/>
      <c r="I1" s="124"/>
      <c r="J1" s="124"/>
      <c r="K1" s="124"/>
      <c r="L1" s="124"/>
      <c r="M1" s="124"/>
      <c r="N1" s="124"/>
    </row>
    <row r="2" spans="1:18" s="1" customFormat="1" ht="25.5" customHeight="1" x14ac:dyDescent="0.25">
      <c r="A2" s="55" t="s">
        <v>177</v>
      </c>
      <c r="B2" s="55" t="s">
        <v>178</v>
      </c>
      <c r="C2" s="55" t="s">
        <v>179</v>
      </c>
      <c r="D2" s="55" t="s">
        <v>180</v>
      </c>
      <c r="E2" s="55" t="s">
        <v>181</v>
      </c>
      <c r="F2" s="55" t="s">
        <v>182</v>
      </c>
      <c r="G2" s="55" t="s">
        <v>183</v>
      </c>
      <c r="H2" s="55" t="s">
        <v>16</v>
      </c>
      <c r="I2" s="55" t="s">
        <v>184</v>
      </c>
      <c r="J2" s="55" t="s">
        <v>185</v>
      </c>
      <c r="K2" s="55" t="s">
        <v>186</v>
      </c>
      <c r="L2" s="55" t="s">
        <v>187</v>
      </c>
      <c r="M2" s="55" t="s">
        <v>19</v>
      </c>
      <c r="N2" s="55" t="s">
        <v>188</v>
      </c>
      <c r="O2" s="3"/>
      <c r="P2" s="110" t="str">
        <f ca="1">Q2</f>
        <v>2019-04-15</v>
      </c>
      <c r="Q2" s="1" t="str">
        <f ca="1">[1]!td(R2-1)</f>
        <v>2019-04-15</v>
      </c>
      <c r="R2" s="3">
        <f ca="1">TODAY()</f>
        <v>43571</v>
      </c>
    </row>
    <row r="3" spans="1:18" ht="15.75" customHeight="1" x14ac:dyDescent="0.25">
      <c r="A3" s="111" t="str">
        <f>[1]!b_info_name(L3)</f>
        <v>19王府井集SCP001</v>
      </c>
      <c r="B3" s="2" t="str">
        <f>[1]!b_issue_firstissue(L3)</f>
        <v>2019-04-17</v>
      </c>
      <c r="C3" s="111">
        <f>[1]!b_info_term(L3)</f>
        <v>0.73970000000000002</v>
      </c>
      <c r="D3" s="112" t="str">
        <f>[1]!issuerrating(L3)</f>
        <v>AAA</v>
      </c>
      <c r="E3" s="112" t="str">
        <f>[1]!b_info_creditrating(L3)</f>
        <v>-</v>
      </c>
      <c r="F3" s="111">
        <f>[1]!b_rate_creditratingagency(L3)</f>
        <v>0</v>
      </c>
      <c r="G3" s="113">
        <f>[1]!b_agency_guarantor(L3)</f>
        <v>0</v>
      </c>
      <c r="H3" s="114" t="s">
        <v>189</v>
      </c>
      <c r="I3" s="66"/>
      <c r="J3" s="115" t="s">
        <v>189</v>
      </c>
      <c r="K3" s="116"/>
      <c r="L3" s="41" t="str">
        <f>公式页!A2</f>
        <v>d19041609.IB</v>
      </c>
      <c r="M3" s="114" t="s">
        <v>189</v>
      </c>
      <c r="N3" s="111">
        <f>[1]!b_agency_leadunderwriter(L3)</f>
        <v>0</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190</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191</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177</v>
      </c>
      <c r="B13" s="55" t="s">
        <v>178</v>
      </c>
      <c r="C13" s="55" t="s">
        <v>179</v>
      </c>
      <c r="D13" s="55" t="s">
        <v>180</v>
      </c>
      <c r="E13" s="55" t="s">
        <v>181</v>
      </c>
      <c r="F13" s="55" t="s">
        <v>182</v>
      </c>
      <c r="G13" s="55" t="s">
        <v>183</v>
      </c>
      <c r="H13" s="55" t="s">
        <v>16</v>
      </c>
      <c r="I13" s="55" t="s">
        <v>184</v>
      </c>
      <c r="J13" s="55" t="s">
        <v>185</v>
      </c>
      <c r="K13" s="55" t="s">
        <v>186</v>
      </c>
      <c r="L13" s="55" t="s">
        <v>187</v>
      </c>
      <c r="M13" s="55" t="s">
        <v>19</v>
      </c>
      <c r="N13" s="55" t="s">
        <v>188</v>
      </c>
      <c r="P13" s="109" t="str">
        <f t="shared" ca="1" si="0"/>
        <v>2019-04-15</v>
      </c>
    </row>
    <row r="14" spans="1:18" ht="15.75" customHeight="1" x14ac:dyDescent="0.25">
      <c r="A14" s="111" t="str">
        <f>[1]!b_info_name(L14)</f>
        <v>19王府井集SCP001</v>
      </c>
      <c r="B14" s="2" t="str">
        <f>[1]!b_issue_firstissue(L14)</f>
        <v>2019-04-17</v>
      </c>
      <c r="C14" s="111">
        <f>[1]!b_info_term(L14)</f>
        <v>0.73970000000000002</v>
      </c>
      <c r="D14" s="112" t="str">
        <f>[1]!issuerrating(L14)</f>
        <v>AAA</v>
      </c>
      <c r="E14" s="112" t="str">
        <f>[1]!b_info_creditrating(L14)</f>
        <v>-</v>
      </c>
      <c r="F14" s="111">
        <f>[1]!b_rate_creditratingagency(L14)</f>
        <v>0</v>
      </c>
      <c r="G14" s="113">
        <f>[1]!b_agency_guarantor(L14)</f>
        <v>0</v>
      </c>
      <c r="H14" s="114" t="s">
        <v>189</v>
      </c>
      <c r="I14" s="66"/>
      <c r="J14" s="115" t="s">
        <v>189</v>
      </c>
      <c r="K14" s="116">
        <f>K3</f>
        <v>0</v>
      </c>
      <c r="L14" s="42" t="str">
        <f>L3</f>
        <v>d19041609.IB</v>
      </c>
      <c r="M14" s="114" t="s">
        <v>189</v>
      </c>
      <c r="N14" s="111">
        <f>[1]!b_agency_leadunderwriter(L14)</f>
        <v>0</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192</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193</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194</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195</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196</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197</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198</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199</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200</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2019-04-16T08:28:40Z</dcterms:modified>
</cp:coreProperties>
</file>