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7新券信评\"/>
    </mc:Choice>
  </mc:AlternateContent>
  <xr:revisionPtr revIDLastSave="0" documentId="13_ncr:1_{D91B7E2C-0F6B-4C88-913C-8573E28D8F2A}"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l="1"/>
  <c r="H22" i="6"/>
  <c r="M20" i="6"/>
  <c r="G19" i="6"/>
  <c r="D18" i="6"/>
  <c r="F16" i="6"/>
  <c r="C15" i="6"/>
  <c r="M9" i="6"/>
  <c r="H8" i="6"/>
  <c r="F6" i="6"/>
  <c r="C5" i="6"/>
  <c r="F3" i="6"/>
  <c r="M22" i="6"/>
  <c r="B21" i="6"/>
  <c r="A19" i="6"/>
  <c r="H16" i="6"/>
  <c r="E14" i="6"/>
  <c r="C8" i="6"/>
  <c r="N5" i="6"/>
  <c r="C3" i="6"/>
  <c r="S137" i="1"/>
  <c r="S131" i="1"/>
  <c r="O23" i="6"/>
  <c r="N21" i="6"/>
  <c r="M19" i="6"/>
  <c r="M17" i="6"/>
  <c r="A16" i="6"/>
  <c r="G8" i="6"/>
  <c r="H6" i="6"/>
  <c r="B4" i="6"/>
  <c r="M139" i="1"/>
  <c r="S132" i="1"/>
  <c r="G22" i="6"/>
  <c r="D19" i="6"/>
  <c r="B15" i="6"/>
  <c r="B7" i="6"/>
  <c r="D3" i="6"/>
  <c r="M131" i="1"/>
  <c r="S112" i="1"/>
  <c r="O103" i="1"/>
  <c r="M101" i="1"/>
  <c r="J100" i="1"/>
  <c r="F99" i="1"/>
  <c r="D98" i="1"/>
  <c r="B97" i="1"/>
  <c r="F95" i="1"/>
  <c r="B93" i="1"/>
  <c r="D90" i="1"/>
  <c r="F87" i="1"/>
  <c r="B85" i="1"/>
  <c r="D82" i="1"/>
  <c r="F79" i="1"/>
  <c r="B77" i="1"/>
  <c r="D74" i="1"/>
  <c r="F71" i="1"/>
  <c r="B69" i="1"/>
  <c r="D66" i="1"/>
  <c r="F63" i="1"/>
  <c r="B61" i="1"/>
  <c r="D58" i="1"/>
  <c r="F55" i="1"/>
  <c r="B53" i="1"/>
  <c r="D50" i="1"/>
  <c r="F47" i="1"/>
  <c r="B45" i="1"/>
  <c r="D42" i="1"/>
  <c r="F39" i="1"/>
  <c r="B37" i="1"/>
  <c r="D34" i="1"/>
  <c r="F31" i="1"/>
  <c r="M29" i="1"/>
  <c r="J28" i="1"/>
  <c r="F27" i="1"/>
  <c r="D26" i="1"/>
  <c r="B25" i="1"/>
  <c r="Q23" i="1"/>
  <c r="D22" i="1"/>
  <c r="B21" i="1"/>
  <c r="Q19" i="1"/>
  <c r="D18" i="1"/>
  <c r="F22" i="6"/>
  <c r="E18" i="6"/>
  <c r="C14" i="6"/>
  <c r="M6" i="6"/>
  <c r="M140" i="1"/>
  <c r="M128" i="1"/>
  <c r="S109" i="1"/>
  <c r="G102" i="1"/>
  <c r="E101" i="1"/>
  <c r="C100" i="1"/>
  <c r="R98" i="1"/>
  <c r="P97" i="1"/>
  <c r="N96" i="1"/>
  <c r="G94" i="1"/>
  <c r="C92" i="1"/>
  <c r="E89" i="1"/>
  <c r="G86" i="1"/>
  <c r="C84" i="1"/>
  <c r="E81" i="1"/>
  <c r="G78" i="1"/>
  <c r="C76" i="1"/>
  <c r="E73" i="1"/>
  <c r="G70" i="1"/>
  <c r="C68" i="1"/>
  <c r="E65" i="1"/>
  <c r="G62" i="1"/>
  <c r="C60" i="1"/>
  <c r="E57" i="1"/>
  <c r="G54" i="1"/>
  <c r="C52" i="1"/>
  <c r="E49" i="1"/>
  <c r="G46" i="1"/>
  <c r="C44" i="1"/>
  <c r="E41" i="1"/>
  <c r="G38" i="1"/>
  <c r="G23" i="6"/>
  <c r="D22" i="6"/>
  <c r="F20" i="6"/>
  <c r="C19" i="6"/>
  <c r="E17" i="6"/>
  <c r="B16" i="6"/>
  <c r="N14" i="6"/>
  <c r="G9" i="6"/>
  <c r="D8" i="6"/>
  <c r="B6" i="6"/>
  <c r="N4" i="6"/>
  <c r="B3" i="6"/>
  <c r="E22" i="6"/>
  <c r="D20" i="6"/>
  <c r="C18" i="6"/>
  <c r="C16" i="6"/>
  <c r="N9" i="6"/>
  <c r="M7" i="6"/>
  <c r="F5" i="6"/>
  <c r="S135" i="1"/>
  <c r="M129" i="1"/>
  <c r="F23" i="6"/>
  <c r="F21" i="6"/>
  <c r="E19" i="6"/>
  <c r="D17" i="6"/>
  <c r="D15" i="6"/>
  <c r="B8" i="6"/>
  <c r="C6" i="6"/>
  <c r="G3" i="6"/>
  <c r="M137" i="1"/>
  <c r="O131" i="1"/>
  <c r="M21" i="6"/>
  <c r="F18" i="6"/>
  <c r="G14" i="6"/>
  <c r="E6" i="6"/>
  <c r="S140" i="1"/>
  <c r="S129" i="1"/>
  <c r="F111" i="1"/>
  <c r="J103" i="1"/>
  <c r="F101" i="1"/>
  <c r="D100" i="1"/>
  <c r="B99" i="1"/>
  <c r="Q97" i="1"/>
  <c r="O96" i="1"/>
  <c r="B95" i="1"/>
  <c r="D92" i="1"/>
  <c r="F89" i="1"/>
  <c r="B87" i="1"/>
  <c r="D84" i="1"/>
  <c r="F81" i="1"/>
  <c r="B79" i="1"/>
  <c r="D76" i="1"/>
  <c r="F73" i="1"/>
  <c r="B71" i="1"/>
  <c r="D68" i="1"/>
  <c r="F65" i="1"/>
  <c r="B63" i="1"/>
  <c r="D60" i="1"/>
  <c r="F57" i="1"/>
  <c r="B55" i="1"/>
  <c r="D52" i="1"/>
  <c r="F49" i="1"/>
  <c r="B47" i="1"/>
  <c r="D44" i="1"/>
  <c r="F41" i="1"/>
  <c r="B39" i="1"/>
  <c r="D36" i="1"/>
  <c r="F33" i="1"/>
  <c r="B31" i="1"/>
  <c r="F29" i="1"/>
  <c r="D28" i="1"/>
  <c r="B27" i="1"/>
  <c r="Q25" i="1"/>
  <c r="O24" i="1"/>
  <c r="M23" i="1"/>
  <c r="Q21" i="1"/>
  <c r="O20" i="1"/>
  <c r="M19" i="1"/>
  <c r="Q17" i="1"/>
  <c r="H21" i="6"/>
  <c r="G17" i="6"/>
  <c r="B9" i="6"/>
  <c r="A6" i="6"/>
  <c r="M136" i="1"/>
  <c r="M127" i="1"/>
  <c r="D109" i="1"/>
  <c r="C102" i="1"/>
  <c r="R100" i="1"/>
  <c r="P99" i="1"/>
  <c r="N98" i="1"/>
  <c r="L97" i="1"/>
  <c r="G96" i="1"/>
  <c r="C94" i="1"/>
  <c r="E91" i="1"/>
  <c r="G88" i="1"/>
  <c r="C86" i="1"/>
  <c r="E83" i="1"/>
  <c r="G80" i="1"/>
  <c r="C78" i="1"/>
  <c r="E75" i="1"/>
  <c r="G72" i="1"/>
  <c r="C70" i="1"/>
  <c r="E67" i="1"/>
  <c r="G64" i="1"/>
  <c r="E21" i="6"/>
  <c r="O18" i="6"/>
  <c r="N15" i="6"/>
  <c r="C9" i="6"/>
  <c r="M5" i="6"/>
  <c r="H23" i="6"/>
  <c r="O19" i="6"/>
  <c r="M15" i="6"/>
  <c r="F7" i="6"/>
  <c r="S141" i="1"/>
  <c r="O128" i="1"/>
  <c r="H20" i="6"/>
  <c r="O16" i="6"/>
  <c r="D7" i="6"/>
  <c r="A3" i="6"/>
  <c r="S130" i="1"/>
  <c r="H17" i="6"/>
  <c r="M4" i="6"/>
  <c r="S128" i="1"/>
  <c r="D102" i="1"/>
  <c r="Q99" i="1"/>
  <c r="M97" i="1"/>
  <c r="D94" i="1"/>
  <c r="B89" i="1"/>
  <c r="F83" i="1"/>
  <c r="D78" i="1"/>
  <c r="B73" i="1"/>
  <c r="F67" i="1"/>
  <c r="D62" i="1"/>
  <c r="B57" i="1"/>
  <c r="F51" i="1"/>
  <c r="D46" i="1"/>
  <c r="B41" i="1"/>
  <c r="F35" i="1"/>
  <c r="D30" i="1"/>
  <c r="Q27" i="1"/>
  <c r="M25" i="1"/>
  <c r="F23" i="1"/>
  <c r="J20" i="1"/>
  <c r="M17" i="1"/>
  <c r="O15" i="6"/>
  <c r="H5" i="6"/>
  <c r="S111" i="1"/>
  <c r="P101" i="1"/>
  <c r="L99" i="1"/>
  <c r="E97" i="1"/>
  <c r="E93" i="1"/>
  <c r="C88" i="1"/>
  <c r="G82" i="1"/>
  <c r="E77" i="1"/>
  <c r="C72" i="1"/>
  <c r="G66" i="1"/>
  <c r="C62" i="1"/>
  <c r="G58" i="1"/>
  <c r="E55" i="1"/>
  <c r="E51" i="1"/>
  <c r="C48" i="1"/>
  <c r="G44" i="1"/>
  <c r="G40" i="1"/>
  <c r="E37" i="1"/>
  <c r="G34" i="1"/>
  <c r="C32" i="1"/>
  <c r="P29" i="1"/>
  <c r="N18" i="6"/>
  <c r="H9" i="6"/>
  <c r="Q2" i="6"/>
  <c r="M118" i="1"/>
  <c r="P103" i="1"/>
  <c r="L100" i="1"/>
  <c r="E98" i="1"/>
  <c r="G95" i="1"/>
  <c r="E90" i="1"/>
  <c r="C85" i="1"/>
  <c r="G79" i="1"/>
  <c r="E74" i="1"/>
  <c r="C69" i="1"/>
  <c r="G63" i="1"/>
  <c r="E58" i="1"/>
  <c r="C53" i="1"/>
  <c r="G47" i="1"/>
  <c r="E42" i="1"/>
  <c r="C37" i="1"/>
  <c r="G31" i="1"/>
  <c r="Q28" i="1"/>
  <c r="G27" i="1"/>
  <c r="P25" i="1"/>
  <c r="F24" i="1"/>
  <c r="G22" i="1"/>
  <c r="Q20" i="1"/>
  <c r="G19" i="1"/>
  <c r="F17" i="1"/>
  <c r="N15" i="1"/>
  <c r="F11" i="1"/>
  <c r="A22" i="6"/>
  <c r="F15" i="6"/>
  <c r="D110" i="1"/>
  <c r="Q100" i="1"/>
  <c r="M98" i="1"/>
  <c r="F96" i="1"/>
  <c r="D91" i="1"/>
  <c r="B86" i="1"/>
  <c r="F80" i="1"/>
  <c r="D75" i="1"/>
  <c r="B70" i="1"/>
  <c r="F64" i="1"/>
  <c r="D59" i="1"/>
  <c r="B54" i="1"/>
  <c r="F48" i="1"/>
  <c r="D43" i="1"/>
  <c r="B38" i="1"/>
  <c r="F32" i="1"/>
  <c r="D29" i="1"/>
  <c r="N27" i="1"/>
  <c r="C26" i="1"/>
  <c r="M24" i="1"/>
  <c r="C23" i="1"/>
  <c r="D21" i="1"/>
  <c r="N19" i="1"/>
  <c r="L17" i="1"/>
  <c r="Q15" i="1"/>
  <c r="D14" i="1"/>
  <c r="E4" i="1"/>
  <c r="G7" i="6"/>
  <c r="M121" i="1"/>
  <c r="M109" i="1"/>
  <c r="P100" i="1"/>
  <c r="L98" i="1"/>
  <c r="E96" i="1"/>
  <c r="G89" i="1"/>
  <c r="E84" i="1"/>
  <c r="C79" i="1"/>
  <c r="C71" i="1"/>
  <c r="E60" i="1"/>
  <c r="E48" i="1"/>
  <c r="C39" i="1"/>
  <c r="N28" i="1"/>
  <c r="Q24" i="1"/>
  <c r="C21" i="1"/>
  <c r="D17" i="1"/>
  <c r="C14" i="1"/>
  <c r="C21" i="6"/>
  <c r="A21" i="6"/>
  <c r="H18" i="6"/>
  <c r="G15" i="6"/>
  <c r="N8" i="6"/>
  <c r="G5" i="6"/>
  <c r="B23" i="6"/>
  <c r="F19" i="6"/>
  <c r="E15" i="6"/>
  <c r="D6" i="6"/>
  <c r="S139" i="1"/>
  <c r="S127" i="1"/>
  <c r="C20" i="6"/>
  <c r="G16" i="6"/>
  <c r="N6" i="6"/>
  <c r="M141" i="1"/>
  <c r="E23" i="6"/>
  <c r="N16" i="6"/>
  <c r="A4" i="6"/>
  <c r="O127" i="1"/>
  <c r="Q101" i="1"/>
  <c r="M99" i="1"/>
  <c r="F97" i="1"/>
  <c r="F93" i="1"/>
  <c r="D88" i="1"/>
  <c r="B83" i="1"/>
  <c r="F77" i="1"/>
  <c r="D72" i="1"/>
  <c r="B67" i="1"/>
  <c r="F61" i="1"/>
  <c r="D56" i="1"/>
  <c r="B51" i="1"/>
  <c r="F45" i="1"/>
  <c r="D40" i="1"/>
  <c r="B35" i="1"/>
  <c r="Q29" i="1"/>
  <c r="M27" i="1"/>
  <c r="F25" i="1"/>
  <c r="B23" i="1"/>
  <c r="D20" i="1"/>
  <c r="D23" i="6"/>
  <c r="A15" i="6"/>
  <c r="N3" i="6"/>
  <c r="D111" i="1"/>
  <c r="L101" i="1"/>
  <c r="E99" i="1"/>
  <c r="R96" i="1"/>
  <c r="G92" i="1"/>
  <c r="E87" i="1"/>
  <c r="C82" i="1"/>
  <c r="G76" i="1"/>
  <c r="E71" i="1"/>
  <c r="C66" i="1"/>
  <c r="E61" i="1"/>
  <c r="C58" i="1"/>
  <c r="C54" i="1"/>
  <c r="G50" i="1"/>
  <c r="E47" i="1"/>
  <c r="E43" i="1"/>
  <c r="C40" i="1"/>
  <c r="G36" i="1"/>
  <c r="C34" i="1"/>
  <c r="E31" i="1"/>
  <c r="M23" i="6"/>
  <c r="C17" i="6"/>
  <c r="N7" i="6"/>
  <c r="M135" i="1"/>
  <c r="M116" i="1"/>
  <c r="E102" i="1"/>
  <c r="R99" i="1"/>
  <c r="N97" i="1"/>
  <c r="E94" i="1"/>
  <c r="C89" i="1"/>
  <c r="G83" i="1"/>
  <c r="E78" i="1"/>
  <c r="C73" i="1"/>
  <c r="G67" i="1"/>
  <c r="E62" i="1"/>
  <c r="C57" i="1"/>
  <c r="G51" i="1"/>
  <c r="E46" i="1"/>
  <c r="C41" i="1"/>
  <c r="G35" i="1"/>
  <c r="E30" i="1"/>
  <c r="L28" i="1"/>
  <c r="R26" i="1"/>
  <c r="J25" i="1"/>
  <c r="R23" i="1"/>
  <c r="B22" i="1"/>
  <c r="L20" i="1"/>
  <c r="G18" i="1"/>
  <c r="B17" i="1"/>
  <c r="G15" i="1"/>
  <c r="F9" i="1"/>
  <c r="E20" i="6"/>
  <c r="M8" i="6"/>
  <c r="S134" i="1"/>
  <c r="M103" i="1"/>
  <c r="F100" i="1"/>
  <c r="B98" i="1"/>
  <c r="D95" i="1"/>
  <c r="B90" i="1"/>
  <c r="F84" i="1"/>
  <c r="D79" i="1"/>
  <c r="B74" i="1"/>
  <c r="F68" i="1"/>
  <c r="D63" i="1"/>
  <c r="B58" i="1"/>
  <c r="F52" i="1"/>
  <c r="D47" i="1"/>
  <c r="B42" i="1"/>
  <c r="F36" i="1"/>
  <c r="D31" i="1"/>
  <c r="P28" i="1"/>
  <c r="E27" i="1"/>
  <c r="O25" i="1"/>
  <c r="E24" i="1"/>
  <c r="F22" i="1"/>
  <c r="P20" i="1"/>
  <c r="E19" i="1"/>
  <c r="C23" i="6"/>
  <c r="A17" i="6"/>
  <c r="E7" i="6"/>
  <c r="O21" i="6"/>
  <c r="F9" i="6"/>
  <c r="O134" i="1"/>
  <c r="G18" i="6"/>
  <c r="E5" i="6"/>
  <c r="O20" i="6"/>
  <c r="M110" i="1"/>
  <c r="O98" i="1"/>
  <c r="F91" i="1"/>
  <c r="B81" i="1"/>
  <c r="D70" i="1"/>
  <c r="F59" i="1"/>
  <c r="B49" i="1"/>
  <c r="D38" i="1"/>
  <c r="B29" i="1"/>
  <c r="J24" i="1"/>
  <c r="F19" i="1"/>
  <c r="E8" i="6"/>
  <c r="O133" i="1"/>
  <c r="N100" i="1"/>
  <c r="C96" i="1"/>
  <c r="E85" i="1"/>
  <c r="G74" i="1"/>
  <c r="C64" i="1"/>
  <c r="G56" i="1"/>
  <c r="C50" i="1"/>
  <c r="G42" i="1"/>
  <c r="C36" i="1"/>
  <c r="G30" i="1"/>
  <c r="H15" i="6"/>
  <c r="M111" i="1"/>
  <c r="G99" i="1"/>
  <c r="C93" i="1"/>
  <c r="E82" i="1"/>
  <c r="G71" i="1"/>
  <c r="C61" i="1"/>
  <c r="E50" i="1"/>
  <c r="G39" i="1"/>
  <c r="N29" i="1"/>
  <c r="M26" i="1"/>
  <c r="L23" i="1"/>
  <c r="C20" i="1"/>
  <c r="E16" i="1"/>
  <c r="F7" i="1"/>
  <c r="G6" i="6"/>
  <c r="M130" i="1"/>
  <c r="O99" i="1"/>
  <c r="B94" i="1"/>
  <c r="D83" i="1"/>
  <c r="F72" i="1"/>
  <c r="B62" i="1"/>
  <c r="D51" i="1"/>
  <c r="F40" i="1"/>
  <c r="B30" i="1"/>
  <c r="Q26" i="1"/>
  <c r="P23" i="1"/>
  <c r="G20" i="1"/>
  <c r="E17" i="1"/>
  <c r="F15" i="1"/>
  <c r="B7" i="1"/>
  <c r="E3" i="6"/>
  <c r="S138" i="1"/>
  <c r="F112" i="1"/>
  <c r="E100" i="1"/>
  <c r="G97" i="1"/>
  <c r="E92" i="1"/>
  <c r="C83" i="1"/>
  <c r="E76" i="1"/>
  <c r="C63" i="1"/>
  <c r="G45" i="1"/>
  <c r="E32" i="1"/>
  <c r="N25" i="1"/>
  <c r="F20" i="1"/>
  <c r="E15" i="1"/>
  <c r="B4" i="1"/>
  <c r="D112" i="1"/>
  <c r="Q98" i="1"/>
  <c r="F90" i="1"/>
  <c r="B80" i="1"/>
  <c r="B68" i="1"/>
  <c r="D53" i="1"/>
  <c r="G69" i="1"/>
  <c r="C59" i="1"/>
  <c r="G49" i="1"/>
  <c r="G37" i="1"/>
  <c r="R29" i="1"/>
  <c r="D27" i="1"/>
  <c r="L24" i="1"/>
  <c r="N20" i="1"/>
  <c r="J17" i="1"/>
  <c r="F8" i="1"/>
  <c r="F4" i="6"/>
  <c r="S110" i="1"/>
  <c r="J99" i="1"/>
  <c r="F94" i="1"/>
  <c r="B84" i="1"/>
  <c r="F74" i="1"/>
  <c r="D65" i="1"/>
  <c r="B56" i="1"/>
  <c r="D49" i="1"/>
  <c r="B44" i="1"/>
  <c r="F38" i="1"/>
  <c r="D33" i="1"/>
  <c r="G29" i="1"/>
  <c r="P27" i="1"/>
  <c r="F26" i="1"/>
  <c r="P24" i="1"/>
  <c r="E23" i="1"/>
  <c r="R20" i="1"/>
  <c r="J19" i="1"/>
  <c r="G17" i="1"/>
  <c r="O15" i="1"/>
  <c r="B14" i="1"/>
  <c r="C28" i="1"/>
  <c r="B102" i="1"/>
  <c r="F88" i="1"/>
  <c r="D67" i="1"/>
  <c r="D35" i="1"/>
  <c r="G25" i="1"/>
  <c r="F18" i="1"/>
  <c r="B11" i="1"/>
  <c r="M119" i="1"/>
  <c r="C99" i="1"/>
  <c r="E80" i="1"/>
  <c r="G53" i="1"/>
  <c r="L27" i="1"/>
  <c r="F10" i="1"/>
  <c r="O101" i="1"/>
  <c r="D73" i="1"/>
  <c r="E64" i="1"/>
  <c r="E44" i="1"/>
  <c r="B26" i="1"/>
  <c r="P15" i="1"/>
  <c r="M138" i="1"/>
  <c r="D89" i="1"/>
  <c r="D69" i="1"/>
  <c r="F46" i="1"/>
  <c r="B36" i="1"/>
  <c r="M28" i="1"/>
  <c r="B24" i="1"/>
  <c r="E20" i="1"/>
  <c r="D15" i="1"/>
  <c r="D4" i="6"/>
  <c r="E9" i="6"/>
  <c r="M134" i="1"/>
  <c r="O100" i="1"/>
  <c r="B75" i="1"/>
  <c r="F53" i="1"/>
  <c r="D32" i="1"/>
  <c r="B19" i="6"/>
  <c r="N103" i="1"/>
  <c r="C90" i="1"/>
  <c r="G68" i="1"/>
  <c r="G52" i="1"/>
  <c r="C38" i="1"/>
  <c r="G20" i="6"/>
  <c r="C101" i="1"/>
  <c r="E86" i="1"/>
  <c r="C65" i="1"/>
  <c r="G43" i="1"/>
  <c r="N24" i="1"/>
  <c r="N17" i="1"/>
  <c r="B17" i="6"/>
  <c r="J101" i="1"/>
  <c r="D87" i="1"/>
  <c r="F76" i="1"/>
  <c r="D55" i="1"/>
  <c r="B34" i="1"/>
  <c r="B28" i="1"/>
  <c r="L21" i="1"/>
  <c r="R17" i="1"/>
  <c r="B9" i="1"/>
  <c r="M117" i="1"/>
  <c r="R97" i="1"/>
  <c r="G77" i="1"/>
  <c r="C51" i="1"/>
  <c r="O22" i="6"/>
  <c r="M16" i="6"/>
  <c r="A7" i="6"/>
  <c r="G21" i="6"/>
  <c r="A9" i="6"/>
  <c r="M133" i="1"/>
  <c r="B18" i="6"/>
  <c r="G4" i="6"/>
  <c r="A20" i="6"/>
  <c r="F109" i="1"/>
  <c r="J98" i="1"/>
  <c r="B91" i="1"/>
  <c r="D80" i="1"/>
  <c r="F69" i="1"/>
  <c r="B59" i="1"/>
  <c r="D48" i="1"/>
  <c r="F37" i="1"/>
  <c r="O28" i="1"/>
  <c r="D24" i="1"/>
  <c r="B19" i="1"/>
  <c r="H7" i="6"/>
  <c r="O129" i="1"/>
  <c r="G100" i="1"/>
  <c r="E95" i="1"/>
  <c r="G84" i="1"/>
  <c r="C74" i="1"/>
  <c r="E63" i="1"/>
  <c r="C56" i="1"/>
  <c r="G48" i="1"/>
  <c r="C42" i="1"/>
  <c r="E35" i="1"/>
  <c r="C30" i="1"/>
  <c r="A14" i="6"/>
  <c r="F110" i="1"/>
  <c r="P98" i="1"/>
  <c r="G91" i="1"/>
  <c r="C81" i="1"/>
  <c r="E70" i="1"/>
  <c r="G59" i="1"/>
  <c r="C49" i="1"/>
  <c r="E38" i="1"/>
  <c r="E29" i="1"/>
  <c r="E26" i="1"/>
  <c r="D23" i="1"/>
  <c r="O19" i="1"/>
  <c r="R15" i="1"/>
  <c r="B5" i="1"/>
  <c r="B5" i="6"/>
  <c r="F113" i="1"/>
  <c r="D99" i="1"/>
  <c r="F92" i="1"/>
  <c r="B82" i="1"/>
  <c r="D71" i="1"/>
  <c r="F60" i="1"/>
  <c r="B50" i="1"/>
  <c r="D39" i="1"/>
  <c r="L29" i="1"/>
  <c r="L26" i="1"/>
  <c r="J23" i="1"/>
  <c r="B20" i="1"/>
  <c r="J16" i="1"/>
  <c r="B15" i="1"/>
  <c r="D21" i="6"/>
  <c r="O132" i="1"/>
  <c r="L103" i="1"/>
  <c r="N99" i="1"/>
  <c r="P96" i="1"/>
  <c r="E88" i="1"/>
  <c r="G81" i="1"/>
  <c r="G73" i="1"/>
  <c r="G57" i="1"/>
  <c r="C43" i="1"/>
  <c r="J29" i="1"/>
  <c r="C24" i="1"/>
  <c r="L19" i="1"/>
  <c r="G14" i="1"/>
  <c r="D16" i="6"/>
  <c r="F102" i="1"/>
  <c r="O97" i="1"/>
  <c r="B88" i="1"/>
  <c r="D77" i="1"/>
  <c r="B64" i="1"/>
  <c r="C91" i="1"/>
  <c r="C67" i="1"/>
  <c r="E56" i="1"/>
  <c r="C47" i="1"/>
  <c r="C35" i="1"/>
  <c r="C29" i="1"/>
  <c r="G26" i="1"/>
  <c r="O23" i="1"/>
  <c r="R19" i="1"/>
  <c r="G16" i="1"/>
  <c r="N22" i="6"/>
  <c r="Q103" i="1"/>
  <c r="F98" i="1"/>
  <c r="B92" i="1"/>
  <c r="D81" i="1"/>
  <c r="B72" i="1"/>
  <c r="F62" i="1"/>
  <c r="F54" i="1"/>
  <c r="B48" i="1"/>
  <c r="F42" i="1"/>
  <c r="D37" i="1"/>
  <c r="B32" i="1"/>
  <c r="R28" i="1"/>
  <c r="J27" i="1"/>
  <c r="R25" i="1"/>
  <c r="G24" i="1"/>
  <c r="C22" i="1"/>
  <c r="M20" i="1"/>
  <c r="C19" i="1"/>
  <c r="C17" i="1"/>
  <c r="J15" i="1"/>
  <c r="B10" i="1"/>
  <c r="B20" i="6"/>
  <c r="F14" i="6"/>
  <c r="H4" i="6"/>
  <c r="N17" i="6"/>
  <c r="A5" i="6"/>
  <c r="A23" i="6"/>
  <c r="D14" i="6"/>
  <c r="O135" i="1"/>
  <c r="D9" i="6"/>
  <c r="S136" i="1"/>
  <c r="B101" i="1"/>
  <c r="J96" i="1"/>
  <c r="D86" i="1"/>
  <c r="F75" i="1"/>
  <c r="B65" i="1"/>
  <c r="D54" i="1"/>
  <c r="F43" i="1"/>
  <c r="B33" i="1"/>
  <c r="O26" i="1"/>
  <c r="M21" i="1"/>
  <c r="N20" i="6"/>
  <c r="R103" i="1"/>
  <c r="G98" i="1"/>
  <c r="G90" i="1"/>
  <c r="C80" i="1"/>
  <c r="E69" i="1"/>
  <c r="G60" i="1"/>
  <c r="E53" i="1"/>
  <c r="C46" i="1"/>
  <c r="E39" i="1"/>
  <c r="E33" i="1"/>
  <c r="B22" i="6"/>
  <c r="D5" i="6"/>
  <c r="O130" i="1"/>
  <c r="N101" i="1"/>
  <c r="C97" i="1"/>
  <c r="G87" i="1"/>
  <c r="C77" i="1"/>
  <c r="E66" i="1"/>
  <c r="G55" i="1"/>
  <c r="C45" i="1"/>
  <c r="E34" i="1"/>
  <c r="C25" i="1"/>
  <c r="N21" i="1"/>
  <c r="B18" i="1"/>
  <c r="C15" i="1"/>
  <c r="M18" i="6"/>
  <c r="J97" i="1"/>
  <c r="B78" i="1"/>
  <c r="F56" i="1"/>
  <c r="B46" i="1"/>
  <c r="G28" i="1"/>
  <c r="R21" i="1"/>
  <c r="D16" i="1"/>
  <c r="A18" i="6"/>
  <c r="R101" i="1"/>
  <c r="C95" i="1"/>
  <c r="C87" i="1"/>
  <c r="E68" i="1"/>
  <c r="E40" i="1"/>
  <c r="G23" i="1"/>
  <c r="P17" i="1"/>
  <c r="A8" i="6"/>
  <c r="B96" i="1"/>
  <c r="D85" i="1"/>
  <c r="B60" i="1"/>
  <c r="C75" i="1"/>
  <c r="C55" i="1"/>
  <c r="G33" i="1"/>
  <c r="F28" i="1"/>
  <c r="P21" i="1"/>
  <c r="D19" i="1"/>
  <c r="H19" i="6"/>
  <c r="D101" i="1"/>
  <c r="D97" i="1"/>
  <c r="F78" i="1"/>
  <c r="D61" i="1"/>
  <c r="B52" i="1"/>
  <c r="D41" i="1"/>
  <c r="F30" i="1"/>
  <c r="C27" i="1"/>
  <c r="L25" i="1"/>
  <c r="O21" i="1"/>
  <c r="C18" i="1"/>
  <c r="F16" i="1"/>
  <c r="B8" i="1"/>
  <c r="N19" i="6"/>
  <c r="B14" i="6"/>
  <c r="F17" i="6"/>
  <c r="C4" i="6"/>
  <c r="C22" i="6"/>
  <c r="F8" i="6"/>
  <c r="S133" i="1"/>
  <c r="D96" i="1"/>
  <c r="F85" i="1"/>
  <c r="D64" i="1"/>
  <c r="B43" i="1"/>
  <c r="J26" i="1"/>
  <c r="F21" i="1"/>
  <c r="C98" i="1"/>
  <c r="E79" i="1"/>
  <c r="E59" i="1"/>
  <c r="E45" i="1"/>
  <c r="G32" i="1"/>
  <c r="E4" i="6"/>
  <c r="M120" i="1"/>
  <c r="L96" i="1"/>
  <c r="G75" i="1"/>
  <c r="E54" i="1"/>
  <c r="C33" i="1"/>
  <c r="O27" i="1"/>
  <c r="E21" i="1"/>
  <c r="E14" i="1"/>
  <c r="Q96" i="1"/>
  <c r="B66" i="1"/>
  <c r="F44" i="1"/>
  <c r="R24" i="1"/>
  <c r="M15" i="1"/>
  <c r="E16" i="6"/>
  <c r="G101" i="1"/>
  <c r="G93" i="1"/>
  <c r="G85" i="1"/>
  <c r="G65" i="1"/>
  <c r="E36" i="1"/>
  <c r="P26" i="1"/>
  <c r="C7" i="6"/>
  <c r="F82" i="1"/>
  <c r="G61" i="1"/>
  <c r="R27" i="1"/>
  <c r="L15" i="1"/>
  <c r="M96" i="1"/>
  <c r="F58" i="1"/>
  <c r="F34" i="1"/>
  <c r="D25" i="1"/>
  <c r="O17" i="1"/>
  <c r="D57" i="1"/>
  <c r="J21" i="1"/>
  <c r="B76" i="1"/>
  <c r="D45" i="1"/>
  <c r="G21" i="1"/>
  <c r="B6" i="1"/>
  <c r="E72" i="1"/>
  <c r="E18" i="1"/>
  <c r="F66" i="1"/>
  <c r="N26" i="1"/>
  <c r="E5" i="1"/>
  <c r="E22" i="1"/>
  <c r="M132" i="1"/>
  <c r="F70" i="1"/>
  <c r="E52" i="1"/>
  <c r="E25" i="1"/>
  <c r="O17" i="6"/>
  <c r="F86" i="1"/>
  <c r="F50" i="1"/>
  <c r="O29" i="1"/>
  <c r="N23" i="1"/>
  <c r="B16" i="1"/>
  <c r="C16" i="1"/>
  <c r="B100" i="1"/>
  <c r="G41" i="1"/>
  <c r="M123" i="1"/>
  <c r="E28" i="1"/>
  <c r="F14" i="1"/>
  <c r="D93" i="1"/>
  <c r="C31" i="1"/>
  <c r="M100" i="1"/>
  <c r="B40" i="1"/>
  <c r="P19" i="1"/>
  <c r="B122" i="1" l="1"/>
  <c r="M22" i="1"/>
  <c r="Q22" i="1"/>
  <c r="L22" i="1"/>
  <c r="H123" i="1"/>
  <c r="D120" i="1"/>
  <c r="J22" i="1"/>
  <c r="H126" i="1"/>
  <c r="D125" i="1"/>
  <c r="P22" i="1"/>
  <c r="D122" i="1"/>
  <c r="D119" i="1"/>
  <c r="B123" i="1"/>
  <c r="B124" i="1"/>
  <c r="B128" i="1"/>
  <c r="H110" i="1"/>
  <c r="H128" i="1"/>
  <c r="B120" i="1"/>
  <c r="B111" i="1"/>
  <c r="D123" i="1"/>
  <c r="B110" i="1"/>
  <c r="D124" i="1"/>
  <c r="H124" i="1"/>
  <c r="B112" i="1"/>
  <c r="B125" i="1"/>
  <c r="R22" i="1"/>
  <c r="D117" i="1"/>
  <c r="B131" i="1"/>
  <c r="H117" i="1"/>
  <c r="H129" i="1"/>
  <c r="B109" i="1"/>
  <c r="P2" i="6"/>
  <c r="H111" i="1"/>
  <c r="H118" i="1"/>
  <c r="H120" i="1"/>
  <c r="D118" i="1"/>
  <c r="H131" i="1"/>
  <c r="B117" i="1"/>
  <c r="B126" i="1"/>
  <c r="O22" i="1"/>
  <c r="H119" i="1"/>
  <c r="H130" i="1"/>
  <c r="D121" i="1"/>
  <c r="B127" i="1"/>
  <c r="B119" i="1"/>
  <c r="H125" i="1"/>
  <c r="N22" i="1"/>
  <c r="H109" i="1"/>
  <c r="B118" i="1"/>
  <c r="B130" i="1"/>
  <c r="H112" i="1"/>
  <c r="B121" i="1"/>
  <c r="H122" i="1"/>
  <c r="B129" i="1"/>
  <c r="H121" i="1"/>
  <c r="H127" i="1"/>
  <c r="J4" i="6"/>
  <c r="P29" i="6" l="1"/>
  <c r="P11" i="6"/>
  <c r="P23" i="6"/>
  <c r="P6" i="6"/>
  <c r="P12" i="6"/>
  <c r="P15" i="6"/>
  <c r="P10" i="6"/>
  <c r="P21" i="6"/>
  <c r="P20" i="6"/>
  <c r="P5" i="6"/>
  <c r="P17" i="6"/>
  <c r="P13" i="6"/>
  <c r="P26" i="6"/>
  <c r="P25" i="6"/>
  <c r="P7" i="6"/>
  <c r="P16" i="6"/>
  <c r="P27" i="6"/>
  <c r="P8" i="6"/>
  <c r="P9" i="6"/>
  <c r="P22" i="6"/>
  <c r="P3" i="6"/>
  <c r="P14" i="6"/>
  <c r="P4" i="6"/>
  <c r="P24" i="6"/>
  <c r="P28" i="6"/>
  <c r="P18" i="6"/>
  <c r="P19" i="6"/>
  <c r="J22" i="6"/>
  <c r="J5" i="6"/>
  <c r="J8" i="6"/>
  <c r="J18" i="6"/>
  <c r="J17" i="6"/>
  <c r="J7" i="6"/>
  <c r="J16" i="6"/>
  <c r="J20" i="6"/>
  <c r="J23" i="6"/>
  <c r="J19" i="6"/>
  <c r="J9" i="6"/>
  <c r="J6" i="6"/>
  <c r="J21" i="6"/>
  <c r="J15" i="6"/>
</calcChain>
</file>

<file path=xl/sharedStrings.xml><?xml version="1.0" encoding="utf-8"?>
<sst xmlns="http://schemas.openxmlformats.org/spreadsheetml/2006/main" count="569" uniqueCount="272">
  <si>
    <t>d19041611.IB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</si>
  <si>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</si>
  <si>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</si>
  <si>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</si>
  <si>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</si>
  <si>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</si>
  <si>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</si>
  <si>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</si>
  <si>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</si>
  <si>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</si>
  <si>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</si>
  <si>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</si>
  <si>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</si>
  <si>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</si>
  <si>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</si>
  <si>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</si>
  <si>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</si>
  <si>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</si>
  <si>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</si>
  <si>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</si>
  <si>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</si>
  <si>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</si>
  <si>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</si>
  <si>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041560082.IB</t>
  </si>
  <si>
    <t>主体级别</t>
  </si>
  <si>
    <t>AA+</t>
  </si>
  <si>
    <t>122094.SH</t>
  </si>
  <si>
    <t>*选择性黏贴</t>
  </si>
  <si>
    <t>041351059.IB</t>
  </si>
  <si>
    <t>数据年度</t>
  </si>
  <si>
    <t>2017年</t>
  </si>
  <si>
    <t>1382241.IB</t>
  </si>
  <si>
    <t>总资产</t>
  </si>
  <si>
    <t>101468002.IB</t>
  </si>
  <si>
    <t>负债率</t>
  </si>
  <si>
    <t>1182263.IB</t>
  </si>
  <si>
    <t>流动比率</t>
  </si>
  <si>
    <t>041464042.IB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</si>
  <si>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</si>
  <si>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</si>
  <si>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</si>
  <si>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</si>
  <si>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</si>
  <si>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</si>
  <si>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</si>
  <si>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</si>
  <si>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</si>
  <si>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</si>
  <si>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</si>
  <si>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</si>
  <si>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</si>
  <si>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</si>
  <si>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</si>
  <si>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</si>
  <si>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</si>
  <si>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</si>
  <si>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</si>
  <si>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</si>
  <si>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</si>
  <si>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</si>
  <si>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</si>
  <si>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</si>
  <si>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</si>
  <si>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</si>
  <si>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</si>
  <si>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</si>
  <si>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</si>
  <si>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</si>
  <si>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</si>
  <si>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</si>
  <si>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</si>
  <si>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</si>
  <si>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</si>
  <si>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</si>
  <si>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</si>
  <si>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</si>
  <si>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</si>
  <si>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</si>
  <si>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</si>
  <si>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</si>
  <si>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</si>
  <si>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</si>
  <si>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</si>
  <si>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</si>
  <si>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</si>
  <si>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</si>
  <si>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</si>
  <si>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</si>
  <si>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</si>
  <si>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</si>
  <si>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</si>
  <si>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</si>
  <si>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</si>
  <si>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</si>
  <si>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</si>
  <si>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</si>
  <si>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</si>
  <si>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</si>
  <si>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</si>
  <si>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</si>
  <si>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</si>
  <si>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</si>
  <si>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</si>
  <si>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</si>
  <si>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</si>
  <si>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</si>
  <si>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</si>
  <si>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</si>
  <si>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</si>
  <si>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</si>
  <si>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</si>
  <si>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</si>
  <si>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</si>
  <si>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</si>
  <si>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</si>
  <si>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</si>
  <si>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</si>
  <si>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</si>
  <si>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</si>
  <si>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</si>
  <si>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</si>
  <si>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041900136.IB</t>
  </si>
  <si>
    <t>20190401</t>
  </si>
  <si>
    <t>19百业源CP001</t>
  </si>
  <si>
    <t>101900039.IB</t>
  </si>
  <si>
    <t>20190110</t>
  </si>
  <si>
    <t>19百业源MTN001</t>
  </si>
  <si>
    <t>011802273.IB</t>
  </si>
  <si>
    <t>20181121</t>
  </si>
  <si>
    <t>18百业源SCP001</t>
  </si>
  <si>
    <t>041800209.IB</t>
  </si>
  <si>
    <t>20180528</t>
  </si>
  <si>
    <t>18百业源CP003</t>
  </si>
  <si>
    <t>041800205.IB</t>
  </si>
  <si>
    <t>20180525</t>
  </si>
  <si>
    <t>18百业源CP002</t>
  </si>
  <si>
    <t>041800159.IB</t>
  </si>
  <si>
    <t>20180419</t>
  </si>
  <si>
    <t>18百业源CP001</t>
  </si>
  <si>
    <t>101800125.IB</t>
  </si>
  <si>
    <t>20180208</t>
  </si>
  <si>
    <t>18百业源MTN001</t>
  </si>
  <si>
    <t>011760135.IB</t>
  </si>
  <si>
    <t>20170904</t>
  </si>
  <si>
    <t>17百业源SCP004</t>
  </si>
  <si>
    <t>101760048.IB</t>
  </si>
  <si>
    <t>20170822</t>
  </si>
  <si>
    <t>17百业源MTN003</t>
  </si>
  <si>
    <t>101760034.IB</t>
  </si>
  <si>
    <t>20170713</t>
  </si>
  <si>
    <t>17百业源MTN002</t>
  </si>
  <si>
    <t>011760059.IB</t>
  </si>
  <si>
    <t>20170522</t>
  </si>
  <si>
    <t>17百业源SCP003</t>
  </si>
  <si>
    <t>101760006.IB</t>
  </si>
  <si>
    <t>20170303</t>
  </si>
  <si>
    <t>17百业源MTN001</t>
  </si>
  <si>
    <t>011760012.IB</t>
  </si>
  <si>
    <t>20170118</t>
  </si>
  <si>
    <t>17百业源SCP002</t>
  </si>
  <si>
    <t>011760001.IB</t>
  </si>
  <si>
    <t>20170105</t>
  </si>
  <si>
    <t>17百业源SCP001</t>
  </si>
  <si>
    <t>011698377.IB</t>
  </si>
  <si>
    <t>20160826</t>
  </si>
  <si>
    <t>16百业源SCP003</t>
  </si>
  <si>
    <t>011699740.IB</t>
  </si>
  <si>
    <t>20160503</t>
  </si>
  <si>
    <t>16百业源SCP002</t>
  </si>
  <si>
    <t>011699652.IB</t>
  </si>
  <si>
    <t>20160420</t>
  </si>
  <si>
    <t>16百业源SCP001</t>
  </si>
  <si>
    <t>041660013.IB</t>
  </si>
  <si>
    <t>20160307</t>
  </si>
  <si>
    <t>16百业源CP001</t>
  </si>
  <si>
    <t>101660016.IB</t>
  </si>
  <si>
    <t>16百业源MTN001</t>
  </si>
  <si>
    <t>041560094.IB</t>
  </si>
  <si>
    <t>20151015</t>
  </si>
  <si>
    <t>15百业源CP002</t>
  </si>
  <si>
    <t>101560026.IB</t>
  </si>
  <si>
    <t>20150615</t>
  </si>
  <si>
    <t>15百业源MTN001</t>
  </si>
  <si>
    <t>041560040.IB</t>
  </si>
  <si>
    <t>20150520</t>
  </si>
  <si>
    <t>15百业源CP001</t>
  </si>
  <si>
    <t>历史主体评级</t>
  </si>
  <si>
    <t>发布日期</t>
  </si>
  <si>
    <t>主体资信级别</t>
  </si>
  <si>
    <t>评级展望</t>
  </si>
  <si>
    <t>评级机构</t>
  </si>
  <si>
    <t>20190104</t>
  </si>
  <si>
    <t>稳定</t>
  </si>
  <si>
    <t>联合资信评估有限公司</t>
  </si>
  <si>
    <t>20180626</t>
  </si>
  <si>
    <t>20180517</t>
  </si>
  <si>
    <t>20171208</t>
  </si>
  <si>
    <t>20170816</t>
  </si>
  <si>
    <t>20170710</t>
  </si>
  <si>
    <t>20170627</t>
  </si>
  <si>
    <t>20170328</t>
  </si>
  <si>
    <t>20161130</t>
  </si>
  <si>
    <t>20160725</t>
  </si>
  <si>
    <t>20160302</t>
  </si>
  <si>
    <t>20160118</t>
  </si>
  <si>
    <t>20150812</t>
  </si>
  <si>
    <t>20141121</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</si>
  <si>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</si>
  <si>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</si>
  <si>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</si>
  <si>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</si>
  <si>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</si>
  <si>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</si>
  <si>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</si>
  <si>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</si>
  <si>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</si>
  <si>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</si>
  <si>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四川科伦药业股份有限公司</t>
  </si>
  <si>
    <t>AA+稳定上调至AA+正面</t>
  </si>
  <si>
    <t>中诚信国际信用评级有限责任公司</t>
  </si>
  <si>
    <t>公司产销规模优势明显，行业地位突出。抗生素产业链不断完善。技术研发水平较高。盈利能力逐年提升，经营获现能力较强。</t>
  </si>
  <si>
    <t>近一年来同行业发债企业主体评级下调情况</t>
  </si>
  <si>
    <t>主体资信级别下调</t>
  </si>
  <si>
    <t>主体评级展望下调</t>
  </si>
  <si>
    <t>康美药业股份有限公司</t>
  </si>
  <si>
    <t>AAA稳定下调至AA+</t>
  </si>
  <si>
    <t>中诚信证券评估有限公司</t>
  </si>
  <si>
    <t xml:space="preserve">公司控股股东康美实业投资控股有限公司的股份质押比例高， 未来公司面临控股股东被动减持风险； 以及公司因涉嫌信息披露违法违觌被中国证券监督管理委员会立案调查。上述多种因素或将影响公司外部融资能力， 造成融资渠道收紧。
</t>
  </si>
  <si>
    <t>吉林利源精制股份有限公司</t>
  </si>
  <si>
    <t>AA稳定下调至C</t>
  </si>
  <si>
    <t>联合信用评级有限公司</t>
  </si>
  <si>
    <t>实质违约。</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</si>
  <si>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</si>
  <si>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</si>
  <si>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</si>
  <si>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</si>
  <si>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</si>
  <si>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</si>
  <si>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</si>
  <si>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</si>
  <si>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</si>
  <si>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</si>
  <si>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</si>
  <si>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</si>
  <si>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</si>
  <si>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</si>
  <si>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</si>
  <si>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</si>
  <si>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</si>
  <si>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</si>
  <si>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</si>
  <si>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</si>
  <si>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</si>
  <si>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</si>
  <si>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</si>
  <si>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</si>
  <si>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</si>
  <si>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深圳市百业源投资有限公司</t>
  </si>
  <si>
    <t>民营企业</t>
  </si>
  <si>
    <t>医疗保健--制药、生物科技与生命科学--制药--西药</t>
  </si>
  <si>
    <t>广东省深圳市南山区高新北区朗山路17号健康元药业大厦314室</t>
  </si>
  <si>
    <t>公司拥有较为明显的规模优势。公司生产经营涵盖了中成药、化学原料药、化学药制剂、抗生素原料药、抗生素制剂、食品、保健食品、化妆品的研发等多个领域。产业链完整，生产的中西药制剂、诊断试剂产品长期稳占全国药品制剂市场前列，其中消化道用药、辅助抗肿瘤用药和抗感染用药为三大优势品种，生殖用药(促性激素)近年也成为主要的利润来源之一。2011年，公司单个产品销售超亿元的有参芪扶正注射液、抗病毒颗粒、丽珠得乐系列(包括冲剂及胶囊)、尿促卵泡素。其中，目前产品销售处于国内市场第一位的产品有参芪扶正注射液、抗病毒颗粒、丽珠肠乐、前列安栓、解脲脲原体和人形支原体培养鉴定药敏试剂；尿促卵泡素、血栓通注射液、人类免疫缺陷病毒抗体诊断试剂稳占市场第二位。上述产品中丽珠得乐、丽珠肠乐、参芪扶正注射液、尿促卵泡素、康丽能、丽扶欣、前列安栓、抗病毒颗粒等主打产品进入了国家医保的药品名单。</t>
  </si>
  <si>
    <t>朱保国</t>
  </si>
  <si>
    <t>刘广霞</t>
  </si>
  <si>
    <t/>
  </si>
  <si>
    <t>A-1</t>
  </si>
  <si>
    <t>武汉当代科技产业集团股份有限公司</t>
  </si>
  <si>
    <t>浙江海正药业股份有限公司</t>
  </si>
  <si>
    <t>浙江海正集团有限公司</t>
  </si>
  <si>
    <t>天津市医药集团有限公司</t>
  </si>
  <si>
    <t>健康元药业集团股份有限公司</t>
  </si>
  <si>
    <t>地方国有企业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</si>
</sst>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2" fillId="4" borderId="10" xfId="0" applyFont="1" applyFill="1" applyBorder="1" applyAlignment="1">
      <alignment horizontal="left" vertical="center" wrapText="1"/>
    </xf>
    <xf numFmtId="0" fontId="0" fillId="0" borderId="0" xfId="0" applyAlignment="1"/>
    <xf numFmtId="0" fontId="2" fillId="0" borderId="2" xfId="0" applyFont="1" applyBorder="1" applyAlignment="1">
      <alignment horizontal="left" vertical="center" wrapText="1"/>
    </xf>
    <xf numFmtId="0" fontId="4" fillId="2" borderId="6" xfId="0" applyFont="1" applyFill="1" applyBorder="1" applyAlignment="1">
      <alignment horizontal="right" vertical="center" wrapText="1"/>
    </xf>
    <xf numFmtId="0" fontId="0" fillId="0" borderId="0" xfId="0" applyAlignment="1">
      <alignment vertical="center"/>
    </xf>
    <xf numFmtId="0" fontId="2" fillId="2" borderId="6" xfId="0"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177" fontId="4"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1" fillId="0" borderId="7" xfId="0" applyFont="1" applyBorder="1" applyAlignment="1">
      <alignment horizontal="center" vertical="center" wrapText="1"/>
    </xf>
    <xf numFmtId="0" fontId="7" fillId="0" borderId="0" xfId="0" applyFont="1" applyAlignment="1">
      <alignment vertical="center"/>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7" fillId="3" borderId="12" xfId="0" applyFont="1" applyFill="1" applyBorder="1" applyAlignment="1">
      <alignment horizontal="center" vertical="center"/>
    </xf>
    <xf numFmtId="0" fontId="0" fillId="0" borderId="12" xfId="0" applyBorder="1" applyAlignment="1"/>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0" fontId="7" fillId="2" borderId="12" xfId="0" applyFont="1" applyFill="1" applyBorder="1" applyAlignment="1">
      <alignment vertical="center" wrapText="1"/>
    </xf>
    <xf numFmtId="0" fontId="14" fillId="0" borderId="8" xfId="0" applyFont="1" applyBorder="1" applyAlignment="1">
      <alignment horizontal="center" vertical="center" wrapText="1"/>
    </xf>
    <xf numFmtId="0" fontId="4" fillId="2" borderId="12" xfId="0" applyFont="1" applyFill="1" applyBorder="1" applyAlignment="1">
      <alignment horizontal="left" vertical="center" wrapText="1"/>
    </xf>
    <xf numFmtId="0" fontId="24" fillId="0" borderId="12" xfId="0" applyFont="1" applyBorder="1" applyAlignment="1">
      <alignment horizontal="center" vertical="center"/>
    </xf>
    <xf numFmtId="0" fontId="2" fillId="0" borderId="1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14" fillId="0" borderId="2" xfId="0" applyFont="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12" xfId="0" applyFont="1" applyBorder="1" applyAlignment="1">
      <alignment horizontal="center" vertical="center" wrapText="1"/>
    </xf>
    <xf numFmtId="181" fontId="2" fillId="2" borderId="12" xfId="0" applyNumberFormat="1" applyFont="1" applyFill="1" applyBorder="1" applyAlignment="1">
      <alignment horizontal="center" vertical="center" wrapText="1"/>
    </xf>
    <xf numFmtId="182" fontId="2" fillId="2" borderId="12" xfId="0" applyNumberFormat="1"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37" t="s">
        <v>1</v>
      </c>
      <c r="B3" s="128"/>
      <c r="C3" s="128"/>
      <c r="D3" s="128"/>
      <c r="E3" s="128"/>
      <c r="F3" s="128"/>
      <c r="G3" s="128"/>
    </row>
    <row r="4" spans="1:20" s="17" customFormat="1" ht="13.5" customHeight="1" x14ac:dyDescent="0.25">
      <c r="A4" s="57" t="s">
        <v>2</v>
      </c>
      <c r="B4" s="138" t="str">
        <f>[1]!b_info_issuerupdated(A2)</f>
        <v>深圳市百业源投资有限公司</v>
      </c>
      <c r="C4" s="133"/>
      <c r="D4" s="57" t="s">
        <v>3</v>
      </c>
      <c r="E4" s="138" t="str">
        <f>[1]!s_info_nature(A2)</f>
        <v>民营企业</v>
      </c>
      <c r="F4" s="133"/>
      <c r="G4" s="133"/>
      <c r="H4" s="19"/>
    </row>
    <row r="5" spans="1:20" s="17" customFormat="1" ht="14.25" customHeight="1" x14ac:dyDescent="0.25">
      <c r="A5" s="57" t="s">
        <v>4</v>
      </c>
      <c r="B5" s="138" t="str">
        <f>[1]!b_issuer_windindustry(A2,9)</f>
        <v>医疗保健--制药、生物科技与生命科学--制药--西药</v>
      </c>
      <c r="C5" s="133"/>
      <c r="D5" s="57" t="s">
        <v>5</v>
      </c>
      <c r="E5" s="138" t="str">
        <f>[1]!b_issuer_regaddress(A2)</f>
        <v>广东省深圳市南山区高新北区朗山路17号健康元药业大厦314室</v>
      </c>
      <c r="F5" s="133"/>
      <c r="G5" s="133"/>
    </row>
    <row r="6" spans="1:20" s="17" customFormat="1" ht="81" customHeight="1" x14ac:dyDescent="0.25">
      <c r="A6" s="57" t="s">
        <v>6</v>
      </c>
      <c r="B6" s="136" t="str">
        <f>[1]!s_info_briefing(A2)</f>
        <v>公司拥有较为明显的规模优势。公司生产经营涵盖了中成药、化学原料药、化学药制剂、抗生素原料药、抗生素制剂、食品、保健食品、化妆品的研发等多个领域。产业链完整，生产的中西药制剂、诊断试剂产品长期稳占全国药品制剂市场前列，其中消化道用药、辅助抗肿瘤用药和抗感染用药为三大优势品种，生殖用药(促性激素)近年也成为主要的利润来源之一。2011年，公司单个产品销售超亿元的有参芪扶正注射液、抗病毒颗粒、丽珠得乐系列(包括冲剂及胶囊)、尿促卵泡素。其中，目前产品销售处于国内市场第一位的产品有参芪扶正注射液、抗病毒颗粒、丽珠肠乐、前列安栓、解脲脲原体和人形支原体培养鉴定药敏试剂；尿促卵泡素、血栓通注射液、人类免疫缺陷病毒抗体诊断试剂稳占市场第二位。上述产品中丽珠得乐、丽珠肠乐、参芪扶正注射液、尿促卵泡素、康丽能、丽扶欣、前列安栓、抗病毒颗粒等主打产品进入了国家医保的药品名单。</v>
      </c>
      <c r="C6" s="133"/>
      <c r="D6" s="133"/>
      <c r="E6" s="133"/>
      <c r="F6" s="133"/>
      <c r="G6" s="133"/>
    </row>
    <row r="7" spans="1:20" s="17" customFormat="1" x14ac:dyDescent="0.25">
      <c r="A7" s="59" t="s">
        <v>7</v>
      </c>
      <c r="B7" s="132" t="str">
        <f>[1]!b_issuer_shareholder(A2,"",1)</f>
        <v>朱保国</v>
      </c>
      <c r="C7" s="133"/>
      <c r="D7" s="133"/>
      <c r="E7" s="133"/>
      <c r="F7" s="61">
        <f>[1]!b_issuer_propofshareholder($A$2,"",1)%</f>
        <v>0.9</v>
      </c>
      <c r="G7" s="60"/>
      <c r="H7" s="20" t="s">
        <v>8</v>
      </c>
      <c r="M7" s="24">
        <v>42004</v>
      </c>
      <c r="N7" s="24">
        <v>42369</v>
      </c>
      <c r="O7" s="24">
        <v>41639</v>
      </c>
      <c r="P7" s="62" t="s">
        <v>9</v>
      </c>
      <c r="Q7" s="62" t="s">
        <v>10</v>
      </c>
      <c r="R7" s="62" t="s">
        <v>11</v>
      </c>
    </row>
    <row r="8" spans="1:20" s="17" customFormat="1" x14ac:dyDescent="0.25">
      <c r="A8" s="59"/>
      <c r="B8" s="132" t="str">
        <f>[1]!b_issuer_shareholder(A2,"",2)</f>
        <v>刘广霞</v>
      </c>
      <c r="C8" s="133"/>
      <c r="D8" s="133"/>
      <c r="E8" s="133"/>
      <c r="F8" s="61">
        <f>[1]!b_issuer_propofshareholder($A$2,"",2)%</f>
        <v>0.1</v>
      </c>
      <c r="G8" s="60"/>
      <c r="H8" s="20"/>
      <c r="M8" s="25"/>
      <c r="O8" s="25"/>
      <c r="P8" s="63"/>
    </row>
    <row r="9" spans="1:20" s="17" customFormat="1" x14ac:dyDescent="0.25">
      <c r="A9" s="59"/>
      <c r="B9" s="132">
        <f>[1]!b_issuer_shareholder(A2,"",3)</f>
        <v>0</v>
      </c>
      <c r="C9" s="133"/>
      <c r="D9" s="133"/>
      <c r="E9" s="133"/>
      <c r="F9" s="61">
        <f>[1]!b_issuer_propofshareholder($A$2,"",3)%</f>
        <v>0</v>
      </c>
      <c r="G9" s="60"/>
      <c r="H9" s="20"/>
      <c r="M9" s="25"/>
      <c r="O9" s="25"/>
      <c r="P9" s="63"/>
    </row>
    <row r="10" spans="1:20" s="17" customFormat="1" x14ac:dyDescent="0.25">
      <c r="A10" s="59"/>
      <c r="B10" s="132">
        <f>[1]!b_issuer_shareholder(A2,"",4)</f>
        <v>0</v>
      </c>
      <c r="C10" s="133"/>
      <c r="D10" s="133"/>
      <c r="E10" s="133"/>
      <c r="F10" s="61">
        <f>[1]!b_issuer_propofshareholder($A$2,"",4)%</f>
        <v>0</v>
      </c>
      <c r="G10" s="60"/>
      <c r="H10" s="20"/>
      <c r="M10" s="25"/>
      <c r="O10" s="25"/>
      <c r="P10" s="63"/>
    </row>
    <row r="11" spans="1:20" s="17" customFormat="1" x14ac:dyDescent="0.25">
      <c r="A11" s="59"/>
      <c r="B11" s="132">
        <f>[1]!b_issuer_shareholder(A2,"",5)</f>
        <v>0</v>
      </c>
      <c r="C11" s="133"/>
      <c r="D11" s="133"/>
      <c r="E11" s="133"/>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d19041611.IB</v>
      </c>
      <c r="K14" s="26"/>
      <c r="L14" s="27" t="str">
        <f>T15</f>
        <v>041560082.IB</v>
      </c>
      <c r="M14" s="27" t="str">
        <f>T16</f>
        <v>122094.SH</v>
      </c>
      <c r="N14" s="27" t="str">
        <f>T17</f>
        <v>041351059.IB</v>
      </c>
      <c r="O14" s="27" t="str">
        <f>T18</f>
        <v>1382241.IB</v>
      </c>
      <c r="P14" s="27" t="str">
        <f>T19</f>
        <v>101468002.IB</v>
      </c>
      <c r="Q14" s="27" t="str">
        <f>T20</f>
        <v>1182263.IB</v>
      </c>
      <c r="R14" s="5" t="str">
        <f>T21</f>
        <v>041464042.IB</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深圳市百业源投资有限公司</v>
      </c>
      <c r="K15" s="117"/>
      <c r="L15" s="8" t="str">
        <f>[1]!b_info_issuer(L14)</f>
        <v>武汉当代科技产业集团股份有限公司</v>
      </c>
      <c r="M15" s="8" t="str">
        <f>[1]!b_info_issuer(M14)</f>
        <v>浙江海正药业股份有限公司</v>
      </c>
      <c r="N15" s="8" t="str">
        <f>[1]!b_info_issuer(N14)</f>
        <v>康美药业股份有限公司</v>
      </c>
      <c r="O15" s="8" t="str">
        <f>[1]!b_info_issuer(O14)</f>
        <v>浙江海正集团有限公司</v>
      </c>
      <c r="P15" s="8" t="str">
        <f>[1]!b_info_issuer(P14)</f>
        <v>天津市医药集团有限公司</v>
      </c>
      <c r="Q15" s="8" t="str">
        <f>[1]!b_info_issuer(Q14)</f>
        <v>四川科伦药业股份有限公司</v>
      </c>
      <c r="R15" s="8" t="str">
        <f>[1]!b_info_issuer(R14)</f>
        <v>健康元药业集团股份有限公司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v>
      </c>
      <c r="K16" s="118"/>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民营企业</v>
      </c>
      <c r="K17" s="118"/>
      <c r="L17" s="67" t="str">
        <f>[1]!s_info_nature(L14)</f>
        <v>民营企业</v>
      </c>
      <c r="M17" s="67" t="str">
        <f>[1]!s_info_nature(M14)</f>
        <v>地方国有企业</v>
      </c>
      <c r="N17" s="67" t="str">
        <f>[1]!s_info_nature(N14)</f>
        <v>民营企业</v>
      </c>
      <c r="O17" s="67" t="str">
        <f>[1]!s_info_nature(O14)</f>
        <v>地方国有企业</v>
      </c>
      <c r="P17" s="67" t="str">
        <f>[1]!s_info_nature(P14)</f>
        <v>地方国有企业</v>
      </c>
      <c r="Q17" s="67" t="str">
        <f>[1]!s_info_nature(Q14)</f>
        <v>民营企业</v>
      </c>
      <c r="R17" s="67" t="str">
        <f>[1]!s_info_nature(R14)</f>
        <v>民营企业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18"/>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302.6421152424</v>
      </c>
      <c r="K19" s="118"/>
      <c r="L19" s="68">
        <f>[1]!b_stm07_bs(L14,74,L13,1)/100000000</f>
        <v>789.67711506979992</v>
      </c>
      <c r="M19" s="68">
        <f>[1]!b_stm07_bs(M14,74,M13,1)/100000000</f>
        <v>216.36418678909999</v>
      </c>
      <c r="N19" s="68">
        <f>[1]!b_stm07_bs(N14,74,N13,1)/100000000</f>
        <v>687.22020630609995</v>
      </c>
      <c r="O19" s="68">
        <f>[1]!b_stm07_bs(O14,74,O13,1)/100000000</f>
        <v>227.87367368860001</v>
      </c>
      <c r="P19" s="68">
        <f>[1]!b_stm07_bs(P14,74,P13,1)/100000000</f>
        <v>517.46911444339992</v>
      </c>
      <c r="Q19" s="68">
        <f>[1]!b_stm07_bs(Q14,74,Q13,1)/100000000</f>
        <v>279.88160462000002</v>
      </c>
      <c r="R19" s="68">
        <f>[1]!b_stm07_bs(R14,74,R13,1)/100000000</f>
        <v>222.11585894619998</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0.45589199999999996</v>
      </c>
      <c r="K20" s="118"/>
      <c r="L20" s="10">
        <f>[1]!s_fa_debttoassets(L14,L13)/100</f>
        <v>0.54918100000000003</v>
      </c>
      <c r="M20" s="10">
        <f>[1]!s_fa_debttoassets(M14,M13)/100</f>
        <v>0.63601700000000005</v>
      </c>
      <c r="N20" s="10">
        <f>[1]!s_fa_debttoassets(N14,N13)/100</f>
        <v>0.53239199999999998</v>
      </c>
      <c r="O20" s="10">
        <f>[1]!s_fa_debttoassets(O14,O13)/100</f>
        <v>0.66824299999999992</v>
      </c>
      <c r="P20" s="10">
        <f>[1]!s_fa_debttoassets(P14,P13)/100</f>
        <v>0.55184299999999997</v>
      </c>
      <c r="Q20" s="10">
        <f>[1]!s_fa_debttoassets(Q14,Q13)/100</f>
        <v>0.57187399999999999</v>
      </c>
      <c r="R20" s="10">
        <f>[1]!s_fa_debttoassets(R14,R13)/100</f>
        <v>0.386903</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1.7154</v>
      </c>
      <c r="K21" s="118"/>
      <c r="L21" s="68">
        <f>[1]!s_fa_current(L14,L13)</f>
        <v>1.35</v>
      </c>
      <c r="M21" s="68">
        <f>[1]!s_fa_current(M14,M13)</f>
        <v>0.85929999999999995</v>
      </c>
      <c r="N21" s="68">
        <f>[1]!s_fa_current(N14,N13)</f>
        <v>2.2056</v>
      </c>
      <c r="O21" s="68">
        <f>[1]!s_fa_current(O14,O13)</f>
        <v>0.80010000000000003</v>
      </c>
      <c r="P21" s="68">
        <f>[1]!s_fa_current(P14,P13)</f>
        <v>1.2655000000000001</v>
      </c>
      <c r="Q21" s="68">
        <f>[1]!s_fa_current(Q14,Q13)</f>
        <v>0.97699999999999998</v>
      </c>
      <c r="R21" s="68">
        <f>[1]!s_fa_current(R14,R13)</f>
        <v>2.0663999999999998</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0.33437137805346107</v>
      </c>
      <c r="K22" s="118"/>
      <c r="L22" s="66">
        <f>(公式页!L96+公式页!L97+公式页!L98+公式页!L99+公式页!L100+公式页!L101)/公式页!L103</f>
        <v>0.77336537006488304</v>
      </c>
      <c r="M22" s="66">
        <f t="shared" ref="M22:R22" si="0">(M96+M97+M98+M99+M100+M101)/M103</f>
        <v>1.3620219369271049</v>
      </c>
      <c r="N22" s="66">
        <f t="shared" si="0"/>
        <v>0.70576402855433684</v>
      </c>
      <c r="O22" s="66">
        <f t="shared" si="0"/>
        <v>1.6333741193463229</v>
      </c>
      <c r="P22" s="66">
        <f t="shared" si="0"/>
        <v>0.78054066745554429</v>
      </c>
      <c r="Q22" s="66">
        <f t="shared" si="0"/>
        <v>0.63648217177664235</v>
      </c>
      <c r="R22" s="66">
        <f t="shared" si="0"/>
        <v>0.19765599269668649</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0.49740000000000001</v>
      </c>
      <c r="K23" s="118"/>
      <c r="L23" s="68">
        <f>[1]!s_fa_ebitdatodebt(L14,L13)</f>
        <v>0.1232</v>
      </c>
      <c r="M23" s="68">
        <f>[1]!s_fa_ebitdatodebt(M14,M13)</f>
        <v>9.5000000000000001E-2</v>
      </c>
      <c r="N23" s="68">
        <f>[1]!s_fa_ebitdatodebt(N14,N13)</f>
        <v>0.17130000000000001</v>
      </c>
      <c r="O23" s="68">
        <f>[1]!s_fa_ebitdatodebt(O14,O13)</f>
        <v>9.1800000000000007E-2</v>
      </c>
      <c r="P23" s="68">
        <f>[1]!s_fa_ebitdatodebt(P14,P13)</f>
        <v>8.2299999999999998E-2</v>
      </c>
      <c r="Q23" s="68">
        <f>[1]!s_fa_ebitdatodebt(Q14,Q13)</f>
        <v>0.15340000000000001</v>
      </c>
      <c r="R23" s="68">
        <f>[1]!s_fa_ebitdatodebt(R14,R13)</f>
        <v>0.76100000000000001</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109.57563806360001</v>
      </c>
      <c r="K24" s="118"/>
      <c r="L24" s="68">
        <f>[1]!b_stm07_is(L14,9,L13,1)/100000000</f>
        <v>232.11105445619998</v>
      </c>
      <c r="M24" s="68">
        <f>[1]!b_stm07_is(M14,9,M13,1)/100000000</f>
        <v>105.7152672316</v>
      </c>
      <c r="N24" s="68">
        <f>[1]!b_stm07_is(N14,9,N13,1)/100000000</f>
        <v>264.76970977569999</v>
      </c>
      <c r="O24" s="68">
        <f>[1]!b_stm07_is(O14,9,O13,1)/100000000</f>
        <v>108.63452218739999</v>
      </c>
      <c r="P24" s="68">
        <f>[1]!b_stm07_is(P14,9,P13,1)/100000000</f>
        <v>203.3473201482</v>
      </c>
      <c r="Q24" s="68">
        <f>[1]!b_stm07_is(Q14,9,Q13,1)/100000000</f>
        <v>114.34948841000001</v>
      </c>
      <c r="R24" s="68">
        <f>[1]!b_stm07_is(R14,9,R13,1)/100000000</f>
        <v>107.79258187809999</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1.0472999999999999</v>
      </c>
      <c r="K25" s="118"/>
      <c r="L25" s="11">
        <f>[1]!s_fa_salescashintoor(L14,L13)%</f>
        <v>1.0928</v>
      </c>
      <c r="M25" s="11">
        <f>[1]!s_fa_salescashintoor(M14,M13)%</f>
        <v>0.9788</v>
      </c>
      <c r="N25" s="11">
        <f>[1]!s_fa_salescashintoor(N14,N13)%</f>
        <v>1.0865</v>
      </c>
      <c r="O25" s="11">
        <f>[1]!s_fa_salescashintoor(O14,O13)%</f>
        <v>0.98540000000000005</v>
      </c>
      <c r="P25" s="11">
        <f>[1]!s_fa_salescashintoor(P14,P13)%</f>
        <v>0.94269999999999998</v>
      </c>
      <c r="Q25" s="11">
        <f>[1]!s_fa_salescashintoor(Q14,Q13)%</f>
        <v>1.0561</v>
      </c>
      <c r="R25" s="11">
        <f>[1]!s_fa_salescashintoor(R14,R13)%</f>
        <v>1.0474000000000001</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0.61840099999999998</v>
      </c>
      <c r="K26" s="118"/>
      <c r="L26" s="11">
        <f>[1]!s_fa_grossprofitmargin(L14,L13)%</f>
        <v>0.34087899999999999</v>
      </c>
      <c r="M26" s="11">
        <f>[1]!s_fa_grossprofitmargin(M14,M13)%</f>
        <v>0.31521500000000002</v>
      </c>
      <c r="N26" s="11">
        <f>[1]!s_fa_grossprofitmargin(N14,N13)%</f>
        <v>0.30316199999999999</v>
      </c>
      <c r="O26" s="11">
        <f>[1]!s_fa_grossprofitmargin(O14,O13)%</f>
        <v>0.31289699999999998</v>
      </c>
      <c r="P26" s="11">
        <f>[1]!s_fa_grossprofitmargin(P14,P13)%</f>
        <v>0.25941999999999998</v>
      </c>
      <c r="Q26" s="11">
        <f>[1]!s_fa_grossprofitmargin(Q14,Q13)%</f>
        <v>0.51309199999999999</v>
      </c>
      <c r="R26" s="11">
        <f>[1]!s_fa_grossprofitmargin(R14,R13)%</f>
        <v>0.62816400000000006</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46.592398223500005</v>
      </c>
      <c r="K27" s="118"/>
      <c r="L27" s="69">
        <f>[1]!b_stm07_is(L14,60,L13,1)/100000000</f>
        <v>26.982142140100002</v>
      </c>
      <c r="M27" s="69">
        <f>[1]!b_stm07_is(M14,60,M13,1)/100000000</f>
        <v>2.3156622324999998</v>
      </c>
      <c r="N27" s="69">
        <f>[1]!b_stm07_is(N14,60,N13,1)/100000000</f>
        <v>40.946462371799996</v>
      </c>
      <c r="O27" s="69">
        <f>[1]!b_stm07_is(O14,60,O13,1)/100000000</f>
        <v>2.1386303372</v>
      </c>
      <c r="P27" s="69">
        <f>[1]!b_stm07_is(P14,60,P13,1)/100000000</f>
        <v>8.8793554195000013</v>
      </c>
      <c r="Q27" s="69">
        <f>[1]!b_stm07_is(Q14,60,Q13,1)/100000000</f>
        <v>8.1108264699999992</v>
      </c>
      <c r="R27" s="69">
        <f>[1]!b_stm07_is(R14,60,R13,1)/100000000</f>
        <v>46.727308557299999</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0.21448</v>
      </c>
      <c r="K28" s="118"/>
      <c r="L28" s="10">
        <f>[1]!s_fa_roe(L14,L13)%</f>
        <v>7.7287999999999996E-2</v>
      </c>
      <c r="M28" s="10">
        <f>[1]!s_fa_roe(M14,M13)%</f>
        <v>2.013E-3</v>
      </c>
      <c r="N28" s="10">
        <f>[1]!s_fa_roe(N14,N13)%</f>
        <v>0.13413</v>
      </c>
      <c r="O28" s="10">
        <f>[1]!s_fa_roe(O14,O13)%</f>
        <v>-1.4985999999999999E-2</v>
      </c>
      <c r="P28" s="10">
        <f>[1]!s_fa_roe(P14,P13)%</f>
        <v>1.5973000000000001E-2</v>
      </c>
      <c r="Q28" s="10">
        <f>[1]!s_fa_roe(Q14,Q13)%</f>
        <v>6.4715999999999996E-2</v>
      </c>
      <c r="R28" s="10">
        <f>[1]!s_fa_roe(R14,R13)%</f>
        <v>0.33412199999999997</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17.994489253599998</v>
      </c>
      <c r="K29" s="118"/>
      <c r="L29" s="69">
        <f>[1]!b_stm07_cs(L14,39,L13,1)/100000000</f>
        <v>11.7834045467</v>
      </c>
      <c r="M29" s="69">
        <f>[1]!b_stm07_cs(M14,39,M13,1)/100000000</f>
        <v>12.407082473900001</v>
      </c>
      <c r="N29" s="69">
        <f>[1]!b_stm07_cs(N14,39,N13,1)/100000000</f>
        <v>18.427942378399997</v>
      </c>
      <c r="O29" s="69">
        <f>[1]!b_stm07_cs(O14,39,O13,1)/100000000</f>
        <v>13.760589836199999</v>
      </c>
      <c r="P29" s="69">
        <f>[1]!b_stm07_cs(P14,39,P13,1)/100000000</f>
        <v>1.4793305559000001</v>
      </c>
      <c r="Q29" s="69">
        <f>[1]!b_stm07_cs(Q14,39,Q13,1)/100000000</f>
        <v>11.025208279999999</v>
      </c>
      <c r="R29" s="69">
        <f>[1]!b_stm07_cs(R14,39,R13,1)/100000000</f>
        <v>18.7037609749</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1010661100</v>
      </c>
      <c r="K96" s="71"/>
      <c r="L96" s="71">
        <f>[1]!b_stm07_bs(L14,75,L13,1)</f>
        <v>7773824829.54</v>
      </c>
      <c r="M96" s="71">
        <f>[1]!b_stm07_bs(M14,75,M13,1)</f>
        <v>5276521849</v>
      </c>
      <c r="N96" s="71">
        <f>[1]!b_stm07_bs(N14,75,N13,1)</f>
        <v>11370246000</v>
      </c>
      <c r="O96" s="71">
        <f>[1]!b_stm07_bs(O14,75,O13,1)</f>
        <v>5804449049.96</v>
      </c>
      <c r="P96" s="71">
        <f>[1]!b_stm07_bs(P14,75,P13,1)</f>
        <v>9991793271.75</v>
      </c>
      <c r="Q96" s="71">
        <f>[1]!b_stm07_bs(Q14,75,Q13,1)</f>
        <v>2720000000</v>
      </c>
      <c r="R96" s="71">
        <f>[1]!b_stm07_bs(R14,75,R13,1)</f>
        <v>460661100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104406014.56999999</v>
      </c>
      <c r="K97" s="71"/>
      <c r="L97" s="71">
        <f>[1]!b_stm07_bs(L14,82,L13,1)</f>
        <v>419049728.61000001</v>
      </c>
      <c r="M97" s="71">
        <f>[1]!b_stm07_bs(M14,82,M13,1)</f>
        <v>54946861.280000001</v>
      </c>
      <c r="N97" s="71">
        <f>[1]!b_stm07_bs(N14,82,N13,1)</f>
        <v>502768572.58999997</v>
      </c>
      <c r="O97" s="71">
        <f>[1]!b_stm07_bs(O14,82,O13,1)</f>
        <v>81230159.890000001</v>
      </c>
      <c r="P97" s="71">
        <f>[1]!b_stm07_bs(P14,82,P13,1)</f>
        <v>145561788.65000001</v>
      </c>
      <c r="Q97" s="71">
        <f>[1]!b_stm07_bs(Q14,82,Q13,1)</f>
        <v>228305476</v>
      </c>
      <c r="R97" s="71">
        <f>[1]!b_stm07_bs(R14,82,R13,1)</f>
        <v>36093847.049999997</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1298819278.6400001</v>
      </c>
      <c r="K98" s="71"/>
      <c r="L98" s="71">
        <f>[1]!b_stm07_bs(L14,88,L13,1)</f>
        <v>2185378240.3099999</v>
      </c>
      <c r="M98" s="71">
        <f>[1]!b_stm07_bs(M14,88,M13,1)</f>
        <v>433381200</v>
      </c>
      <c r="N98" s="71">
        <f>[1]!b_stm07_bs(N14,88,N13,1)</f>
        <v>2500000000</v>
      </c>
      <c r="O98" s="71">
        <f>[1]!b_stm07_bs(O14,88,O13,1)</f>
        <v>937818700</v>
      </c>
      <c r="P98" s="71">
        <f>[1]!b_stm07_bs(P14,88,P13,1)</f>
        <v>439535469.01999998</v>
      </c>
      <c r="Q98" s="71">
        <f>[1]!b_stm07_bs(Q14,88,Q13,1)</f>
        <v>1181852856</v>
      </c>
      <c r="R98" s="71">
        <f>[1]!b_stm07_bs(R14,88,R13,1)</f>
        <v>998944278.63999999</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700000</v>
      </c>
      <c r="K100" s="71"/>
      <c r="L100" s="71">
        <f>[1]!b_stm07_bs(L14,94,L13,1)</f>
        <v>8355481593.3800001</v>
      </c>
      <c r="M100" s="71">
        <f>[1]!b_stm07_bs(M14,94,M13,1)</f>
        <v>2972515090.27</v>
      </c>
      <c r="N100" s="71">
        <f>[1]!b_stm07_bs(N14,94,N13,1)</f>
        <v>0</v>
      </c>
      <c r="O100" s="71">
        <f>[1]!b_stm07_bs(O14,94,O13,1)</f>
        <v>3039785090.27</v>
      </c>
      <c r="P100" s="71">
        <f>[1]!b_stm07_bs(P14,94,P13,1)</f>
        <v>3830112367.4299998</v>
      </c>
      <c r="Q100" s="71">
        <f>[1]!b_stm07_bs(Q14,94,Q13,1)</f>
        <v>208000000</v>
      </c>
      <c r="R100" s="71">
        <f>[1]!b_stm07_bs(R14,94,R13,1)</f>
        <v>700000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3091508248.9200001</v>
      </c>
      <c r="K101" s="71"/>
      <c r="L101" s="71">
        <f>[1]!b_stm07_bs(L14,95,L13,1)</f>
        <v>8798160176.2600002</v>
      </c>
      <c r="M101" s="71">
        <f>[1]!b_stm07_bs(M14,95,M13,1)</f>
        <v>1988943863.02</v>
      </c>
      <c r="N101" s="71">
        <f>[1]!b_stm07_bs(N14,95,N13,1)</f>
        <v>8306694177.5200005</v>
      </c>
      <c r="O101" s="71">
        <f>[1]!b_stm07_bs(O14,95,O13,1)</f>
        <v>2484818863.02</v>
      </c>
      <c r="P101" s="71">
        <f>[1]!b_stm07_bs(P14,95,P13,1)</f>
        <v>3694302000</v>
      </c>
      <c r="Q101" s="71">
        <f>[1]!b_stm07_bs(Q14,95,Q13,1)</f>
        <v>3288458807</v>
      </c>
      <c r="R101" s="71">
        <f>[1]!b_stm07_bs(R14,95,R13,1)</f>
        <v>1195250459.8</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16467003468.370001</v>
      </c>
      <c r="K103" s="71"/>
      <c r="L103" s="71">
        <f>[1]!b_stm07_bs(L14,141,L13,1)</f>
        <v>35600113004.529999</v>
      </c>
      <c r="M103" s="71">
        <f>[1]!b_stm07_bs(M14,141,M13,1)</f>
        <v>7875283483.1499996</v>
      </c>
      <c r="N103" s="71">
        <f>[1]!b_stm07_bs(N14,141,N13,1)</f>
        <v>32134974060.049999</v>
      </c>
      <c r="O103" s="71">
        <f>[1]!b_stm07_bs(O14,141,O13,1)</f>
        <v>7559873587.3699999</v>
      </c>
      <c r="P103" s="71">
        <f>[1]!b_stm07_bs(P14,141,P13,1)</f>
        <v>23190726187.09</v>
      </c>
      <c r="Q103" s="71">
        <f>[1]!b_stm07_bs(Q14,141,Q13,1)</f>
        <v>11982452105</v>
      </c>
      <c r="R103" s="71">
        <f>[1]!b_stm07_bs(R14,141,R13,1)</f>
        <v>13617850128.23</v>
      </c>
    </row>
    <row r="106" spans="1:19" ht="14.25" customHeight="1" x14ac:dyDescent="0.25">
      <c r="A106" s="127" t="s">
        <v>54</v>
      </c>
      <c r="B106" s="128"/>
      <c r="C106" s="128"/>
      <c r="D106" s="118"/>
      <c r="E106" s="118"/>
      <c r="F106" s="118"/>
      <c r="G106" s="118"/>
      <c r="H106" s="118"/>
      <c r="I106" s="118"/>
      <c r="J106" s="118"/>
      <c r="L106" s="17"/>
      <c r="M106" s="17"/>
    </row>
    <row r="107" spans="1:19" x14ac:dyDescent="0.25">
      <c r="A107" s="126" t="s">
        <v>55</v>
      </c>
      <c r="B107" s="128"/>
      <c r="C107" s="128"/>
      <c r="D107" s="118"/>
      <c r="E107" s="118"/>
      <c r="F107" s="118"/>
      <c r="G107" s="134">
        <v>2017</v>
      </c>
      <c r="H107" s="118"/>
      <c r="I107" s="118"/>
      <c r="J107" s="118"/>
      <c r="K107" s="40" t="str">
        <f>A2</f>
        <v>d19041611.IB</v>
      </c>
      <c r="L107" s="33">
        <f>B2</f>
        <v>43100</v>
      </c>
      <c r="M107" s="17"/>
    </row>
    <row r="108" spans="1:19" ht="12.75" customHeight="1" x14ac:dyDescent="0.25">
      <c r="A108" s="135" t="s">
        <v>56</v>
      </c>
      <c r="B108" s="128"/>
      <c r="C108" s="135" t="s">
        <v>57</v>
      </c>
      <c r="D108" s="118"/>
      <c r="E108" s="135" t="s">
        <v>58</v>
      </c>
      <c r="F108" s="118"/>
      <c r="G108" s="135" t="s">
        <v>59</v>
      </c>
      <c r="H108" s="118"/>
      <c r="I108" s="135" t="s">
        <v>60</v>
      </c>
      <c r="J108" s="118"/>
      <c r="L108" s="17"/>
      <c r="M108" s="17"/>
    </row>
    <row r="109" spans="1:19" ht="16.5" customHeight="1" x14ac:dyDescent="0.25">
      <c r="A109" s="54" t="s">
        <v>61</v>
      </c>
      <c r="B109" s="12">
        <f>M109/100</f>
        <v>0.45589199999999996</v>
      </c>
      <c r="C109" s="54" t="s">
        <v>36</v>
      </c>
      <c r="D109" s="72">
        <f>[1]!s_fa_current(A2,B2)</f>
        <v>1.7154</v>
      </c>
      <c r="E109" s="54" t="s">
        <v>41</v>
      </c>
      <c r="F109" s="73">
        <f>[1]!s_fa_salescashintoor(A2,B2)/100</f>
        <v>1.0472999999999999</v>
      </c>
      <c r="G109" s="54" t="s">
        <v>42</v>
      </c>
      <c r="H109" s="12">
        <f>S109/100</f>
        <v>0.61840099999999998</v>
      </c>
      <c r="I109" s="54"/>
      <c r="J109" s="16"/>
      <c r="K109" s="25"/>
      <c r="L109" s="34" t="s">
        <v>61</v>
      </c>
      <c r="M109" s="74">
        <f>[1]!s_fa_debttoassets(A2,B2)</f>
        <v>45.589199999999998</v>
      </c>
      <c r="N109" s="54" t="s">
        <v>36</v>
      </c>
      <c r="O109" s="35"/>
      <c r="P109" s="54" t="s">
        <v>41</v>
      </c>
      <c r="Q109" s="35"/>
      <c r="R109" s="54" t="s">
        <v>42</v>
      </c>
      <c r="S109" s="75">
        <f>[1]!s_fa_grossprofitmargin(A2,B2)</f>
        <v>61.8401</v>
      </c>
    </row>
    <row r="110" spans="1:19" ht="15.75" customHeight="1" x14ac:dyDescent="0.25">
      <c r="A110" s="54" t="s">
        <v>62</v>
      </c>
      <c r="B110" s="12">
        <f>M110/100</f>
        <v>0.54025699999999999</v>
      </c>
      <c r="C110" s="54" t="s">
        <v>63</v>
      </c>
      <c r="D110" s="73">
        <f>[1]!s_fa_quick(A2,B2)</f>
        <v>1.5724</v>
      </c>
      <c r="E110" s="54" t="s">
        <v>64</v>
      </c>
      <c r="F110" s="72">
        <f>[1]!s_fa_arturn(A2,B2)</f>
        <v>5.3792</v>
      </c>
      <c r="G110" s="54" t="s">
        <v>65</v>
      </c>
      <c r="H110" s="12">
        <f>S110/100</f>
        <v>0.53719299999999992</v>
      </c>
      <c r="I110" s="54"/>
      <c r="J110" s="16"/>
      <c r="L110" s="54" t="s">
        <v>62</v>
      </c>
      <c r="M110" s="74">
        <f>[1]!s_fa_catoassets(A2,B2)</f>
        <v>54.025700000000001</v>
      </c>
      <c r="N110" s="54" t="s">
        <v>63</v>
      </c>
      <c r="O110" s="35"/>
      <c r="P110" s="54" t="s">
        <v>64</v>
      </c>
      <c r="Q110" s="73"/>
      <c r="R110" s="54" t="s">
        <v>65</v>
      </c>
      <c r="S110" s="75">
        <f>[1]!s_fa_optogr(A2,B2)</f>
        <v>53.719299999999997</v>
      </c>
    </row>
    <row r="111" spans="1:19" ht="15" customHeight="1" x14ac:dyDescent="0.25">
      <c r="A111" s="54" t="s">
        <v>66</v>
      </c>
      <c r="B111" s="12">
        <f>M111/100</f>
        <v>0.69081700000000001</v>
      </c>
      <c r="C111" s="54" t="s">
        <v>39</v>
      </c>
      <c r="D111" s="73">
        <f>[1]!s_fa_ebitdatodebt(A2,B2)</f>
        <v>0.49740000000000001</v>
      </c>
      <c r="E111" s="54" t="s">
        <v>67</v>
      </c>
      <c r="F111" s="72">
        <f>[1]!s_fa_invturn(A2,B2)</f>
        <v>2.9984000000000002</v>
      </c>
      <c r="G111" s="54" t="s">
        <v>45</v>
      </c>
      <c r="H111" s="12">
        <f>S111/100</f>
        <v>0.21448</v>
      </c>
      <c r="I111" s="54"/>
      <c r="J111" s="16"/>
      <c r="L111" s="54" t="s">
        <v>66</v>
      </c>
      <c r="M111" s="74">
        <f>[1]!s_fa_currentdebttodebt(A2,B2)</f>
        <v>69.081699999999998</v>
      </c>
      <c r="N111" s="54" t="s">
        <v>39</v>
      </c>
      <c r="O111" s="35"/>
      <c r="P111" s="54" t="s">
        <v>67</v>
      </c>
      <c r="Q111" s="35"/>
      <c r="R111" s="54" t="s">
        <v>45</v>
      </c>
      <c r="S111" s="75">
        <f>[1]!s_fa_roe(A2,B2)</f>
        <v>21.448</v>
      </c>
    </row>
    <row r="112" spans="1:19" ht="14.25" customHeight="1" x14ac:dyDescent="0.25">
      <c r="A112" s="54" t="s">
        <v>38</v>
      </c>
      <c r="B112" s="76">
        <f>(M116+M117+M118+M119+M120+M121)/M123</f>
        <v>0.33437137805346107</v>
      </c>
      <c r="C112" s="54" t="s">
        <v>68</v>
      </c>
      <c r="D112" s="73">
        <f>[1]!s_fa_ebittointerest(A2,B2)</f>
        <v>24.7349</v>
      </c>
      <c r="E112" s="54" t="s">
        <v>69</v>
      </c>
      <c r="F112" s="72">
        <f>[1]!s_fa_caturn(A2,B2)</f>
        <v>0.82489999999999997</v>
      </c>
      <c r="G112" s="54" t="s">
        <v>70</v>
      </c>
      <c r="H112" s="12">
        <f>S112/100</f>
        <v>0.2306</v>
      </c>
      <c r="I112" s="54"/>
      <c r="J112" s="16"/>
      <c r="L112" s="54" t="s">
        <v>38</v>
      </c>
      <c r="M112" s="77"/>
      <c r="N112" s="54" t="s">
        <v>68</v>
      </c>
      <c r="O112" s="35"/>
      <c r="P112" s="54" t="s">
        <v>69</v>
      </c>
      <c r="Q112" s="35"/>
      <c r="R112" s="54" t="s">
        <v>70</v>
      </c>
      <c r="S112" s="75">
        <f>[1]!s_fa_roa2(A2,B2)</f>
        <v>23.06</v>
      </c>
    </row>
    <row r="113" spans="1:21" x14ac:dyDescent="0.25">
      <c r="A113" s="30"/>
      <c r="B113" s="31"/>
      <c r="C113" s="30"/>
      <c r="D113" s="32"/>
      <c r="E113" s="30" t="s">
        <v>71</v>
      </c>
      <c r="F113" s="78">
        <f>[1]!s_fa_dupont_faturnover(A2,B2)</f>
        <v>0.40739999999999998</v>
      </c>
      <c r="G113" s="30"/>
      <c r="H113" s="31"/>
      <c r="I113" s="30"/>
      <c r="J113" s="31"/>
      <c r="L113" s="30"/>
      <c r="M113" s="36"/>
      <c r="N113" s="30"/>
      <c r="O113" s="32"/>
      <c r="P113" s="30" t="s">
        <v>71</v>
      </c>
      <c r="Q113" s="37"/>
      <c r="R113" s="30"/>
      <c r="S113" s="31"/>
    </row>
    <row r="114" spans="1:21" ht="13.5" customHeight="1" x14ac:dyDescent="0.25">
      <c r="A114" s="127" t="s">
        <v>72</v>
      </c>
      <c r="B114" s="128"/>
      <c r="C114" s="128"/>
      <c r="D114" s="118"/>
      <c r="E114" s="118"/>
      <c r="F114" s="118"/>
      <c r="G114" s="118"/>
      <c r="H114" s="118"/>
      <c r="I114" s="118"/>
      <c r="J114" s="118"/>
      <c r="L114" s="17"/>
      <c r="M114" s="17"/>
    </row>
    <row r="115" spans="1:21" ht="13.5" customHeight="1" x14ac:dyDescent="0.25">
      <c r="A115" s="126" t="s">
        <v>73</v>
      </c>
      <c r="B115" s="128"/>
      <c r="C115" s="128"/>
      <c r="D115" s="118"/>
      <c r="E115" s="118"/>
      <c r="F115" s="118"/>
      <c r="G115" s="129">
        <v>2017</v>
      </c>
      <c r="H115" s="118"/>
      <c r="I115" s="118"/>
      <c r="J115" s="118"/>
      <c r="L115" s="17"/>
      <c r="M115" s="17"/>
    </row>
    <row r="116" spans="1:21" x14ac:dyDescent="0.25">
      <c r="A116" s="130" t="s">
        <v>74</v>
      </c>
      <c r="B116" s="128"/>
      <c r="C116" s="130" t="s">
        <v>75</v>
      </c>
      <c r="D116" s="118"/>
      <c r="E116" s="131" t="s">
        <v>76</v>
      </c>
      <c r="F116" s="118"/>
      <c r="G116" s="118"/>
      <c r="H116" s="118"/>
      <c r="I116" s="118"/>
      <c r="J116" s="118"/>
      <c r="L116" s="17" t="s">
        <v>47</v>
      </c>
      <c r="M116" s="71">
        <f>[1]!b_stm07_bs(K107,75,L107,1)</f>
        <v>1010661100</v>
      </c>
    </row>
    <row r="117" spans="1:21" ht="14.25" customHeight="1" x14ac:dyDescent="0.25">
      <c r="A117" s="54" t="s">
        <v>77</v>
      </c>
      <c r="B117" s="73">
        <f t="shared" ref="B117:B131" si="1">M127/100000000</f>
        <v>92.52283442049999</v>
      </c>
      <c r="C117" s="54" t="s">
        <v>78</v>
      </c>
      <c r="D117" s="76">
        <f t="shared" ref="D117:D125" si="2">O127/100000000</f>
        <v>109.57563806360001</v>
      </c>
      <c r="E117" s="119" t="s">
        <v>79</v>
      </c>
      <c r="F117" s="118"/>
      <c r="G117" s="118"/>
      <c r="H117" s="124">
        <f t="shared" ref="H117:H131" si="3">S127/100000000</f>
        <v>114.75695846549999</v>
      </c>
      <c r="I117" s="118"/>
      <c r="J117" s="118"/>
      <c r="L117" s="17" t="s">
        <v>48</v>
      </c>
      <c r="M117" s="71">
        <f>[1]!b_stm07_bs(K107,82,L107,1)</f>
        <v>104406014.56999999</v>
      </c>
    </row>
    <row r="118" spans="1:21" ht="14.25" customHeight="1" x14ac:dyDescent="0.25">
      <c r="A118" s="54" t="s">
        <v>80</v>
      </c>
      <c r="B118" s="73">
        <f t="shared" si="1"/>
        <v>19.727220019400001</v>
      </c>
      <c r="C118" s="54" t="s">
        <v>81</v>
      </c>
      <c r="D118" s="76">
        <f t="shared" si="2"/>
        <v>100.428459065</v>
      </c>
      <c r="E118" s="119" t="s">
        <v>82</v>
      </c>
      <c r="F118" s="118"/>
      <c r="G118" s="118"/>
      <c r="H118" s="124">
        <f t="shared" si="3"/>
        <v>13.7672578232</v>
      </c>
      <c r="I118" s="118"/>
      <c r="J118" s="118"/>
      <c r="L118" s="17" t="s">
        <v>49</v>
      </c>
      <c r="M118" s="71">
        <f>[1]!b_stm07_bs(K107,88,L107,1)</f>
        <v>1298819278.6400001</v>
      </c>
    </row>
    <row r="119" spans="1:21" ht="14.25" customHeight="1" x14ac:dyDescent="0.25">
      <c r="A119" s="54" t="s">
        <v>83</v>
      </c>
      <c r="B119" s="73">
        <f t="shared" si="1"/>
        <v>9.3653391187999997</v>
      </c>
      <c r="C119" s="54" t="s">
        <v>84</v>
      </c>
      <c r="D119" s="76">
        <f t="shared" si="2"/>
        <v>41.813915161600001</v>
      </c>
      <c r="E119" s="119" t="s">
        <v>85</v>
      </c>
      <c r="F119" s="118"/>
      <c r="G119" s="118"/>
      <c r="H119" s="123">
        <f t="shared" si="3"/>
        <v>129.12769350260001</v>
      </c>
      <c r="I119" s="118"/>
      <c r="J119" s="118"/>
      <c r="L119" s="17" t="s">
        <v>50</v>
      </c>
      <c r="M119" s="71">
        <f>[1]!b_stm07_bs(K107,147,L107,1)</f>
        <v>0</v>
      </c>
    </row>
    <row r="120" spans="1:21" ht="14.25" customHeight="1" x14ac:dyDescent="0.25">
      <c r="A120" s="54" t="s">
        <v>86</v>
      </c>
      <c r="B120" s="73">
        <f t="shared" si="1"/>
        <v>45.997450048900006</v>
      </c>
      <c r="C120" s="54" t="s">
        <v>87</v>
      </c>
      <c r="D120" s="76">
        <f t="shared" si="2"/>
        <v>39.817228913899996</v>
      </c>
      <c r="E120" s="119" t="s">
        <v>88</v>
      </c>
      <c r="F120" s="118"/>
      <c r="G120" s="118"/>
      <c r="H120" s="124">
        <f t="shared" si="3"/>
        <v>31.410648966500002</v>
      </c>
      <c r="I120" s="118"/>
      <c r="J120" s="118"/>
      <c r="L120" s="17" t="s">
        <v>51</v>
      </c>
      <c r="M120" s="71">
        <f>[1]!b_stm07_bs(K107,94,L107,1)</f>
        <v>700000</v>
      </c>
    </row>
    <row r="121" spans="1:21" ht="14.25" customHeight="1" x14ac:dyDescent="0.25">
      <c r="A121" s="54" t="s">
        <v>89</v>
      </c>
      <c r="B121" s="73">
        <f t="shared" si="1"/>
        <v>3.1770856276999999</v>
      </c>
      <c r="C121" s="54" t="s">
        <v>90</v>
      </c>
      <c r="D121" s="76">
        <f t="shared" si="2"/>
        <v>12.5298163807</v>
      </c>
      <c r="E121" s="119" t="s">
        <v>91</v>
      </c>
      <c r="F121" s="118"/>
      <c r="G121" s="118"/>
      <c r="H121" s="124">
        <f t="shared" si="3"/>
        <v>53.883356279899999</v>
      </c>
      <c r="I121" s="118"/>
      <c r="J121" s="118"/>
      <c r="L121" s="17" t="s">
        <v>52</v>
      </c>
      <c r="M121" s="71">
        <f>[1]!b_stm07_bs(K107,95,L107,1)</f>
        <v>3091508248.9200001</v>
      </c>
    </row>
    <row r="122" spans="1:21" ht="14.25" customHeight="1" x14ac:dyDescent="0.25">
      <c r="A122" s="54" t="s">
        <v>92</v>
      </c>
      <c r="B122" s="73">
        <f t="shared" si="1"/>
        <v>30.472273521199998</v>
      </c>
      <c r="C122" s="54" t="s">
        <v>93</v>
      </c>
      <c r="D122" s="76">
        <f t="shared" si="2"/>
        <v>3.1216139877999995</v>
      </c>
      <c r="E122" s="119" t="s">
        <v>94</v>
      </c>
      <c r="F122" s="118"/>
      <c r="G122" s="118"/>
      <c r="H122" s="123">
        <f t="shared" si="3"/>
        <v>111.133204249</v>
      </c>
      <c r="I122" s="118"/>
      <c r="J122" s="118"/>
      <c r="L122" s="17"/>
      <c r="M122" s="17"/>
    </row>
    <row r="123" spans="1:21" ht="14.25" customHeight="1" x14ac:dyDescent="0.25">
      <c r="A123" s="54" t="s">
        <v>95</v>
      </c>
      <c r="B123" s="79">
        <f t="shared" si="1"/>
        <v>302.6421152424</v>
      </c>
      <c r="C123" s="54" t="s">
        <v>96</v>
      </c>
      <c r="D123" s="76">
        <f t="shared" si="2"/>
        <v>58.863279887099999</v>
      </c>
      <c r="E123" s="119" t="s">
        <v>97</v>
      </c>
      <c r="F123" s="118"/>
      <c r="G123" s="118"/>
      <c r="H123" s="123">
        <f t="shared" si="3"/>
        <v>17.994489253599998</v>
      </c>
      <c r="I123" s="118"/>
      <c r="J123" s="118"/>
      <c r="L123" s="17" t="s">
        <v>53</v>
      </c>
      <c r="M123" s="71">
        <f>[1]!b_stm07_bs(K107,141,L107,1)</f>
        <v>16467003468.370001</v>
      </c>
    </row>
    <row r="124" spans="1:21" ht="14.25" customHeight="1" x14ac:dyDescent="0.25">
      <c r="A124" s="54" t="s">
        <v>98</v>
      </c>
      <c r="B124" s="73">
        <f t="shared" si="1"/>
        <v>10.106610999999999</v>
      </c>
      <c r="C124" s="54" t="s">
        <v>99</v>
      </c>
      <c r="D124" s="76">
        <f t="shared" si="2"/>
        <v>59.5137221397</v>
      </c>
      <c r="E124" s="119" t="s">
        <v>100</v>
      </c>
      <c r="F124" s="118"/>
      <c r="G124" s="118"/>
      <c r="H124" s="123">
        <f t="shared" si="3"/>
        <v>43.505923936199999</v>
      </c>
      <c r="I124" s="118"/>
      <c r="J124" s="118"/>
      <c r="L124" s="17"/>
      <c r="M124" s="17"/>
    </row>
    <row r="125" spans="1:21" ht="27" customHeight="1" x14ac:dyDescent="0.25">
      <c r="A125" s="54" t="s">
        <v>101</v>
      </c>
      <c r="B125" s="73">
        <f t="shared" si="1"/>
        <v>12.988192786400001</v>
      </c>
      <c r="C125" s="54" t="s">
        <v>43</v>
      </c>
      <c r="D125" s="76">
        <f t="shared" si="2"/>
        <v>46.592398223500005</v>
      </c>
      <c r="E125" s="119" t="s">
        <v>102</v>
      </c>
      <c r="F125" s="118"/>
      <c r="G125" s="118"/>
      <c r="H125" s="124">
        <f t="shared" si="3"/>
        <v>0.15</v>
      </c>
      <c r="I125" s="118"/>
      <c r="J125" s="118"/>
      <c r="L125" s="17"/>
      <c r="M125" s="17"/>
    </row>
    <row r="126" spans="1:21" ht="16.5" customHeight="1" x14ac:dyDescent="0.25">
      <c r="A126" s="54" t="s">
        <v>103</v>
      </c>
      <c r="B126" s="73">
        <f t="shared" si="1"/>
        <v>0</v>
      </c>
      <c r="C126" s="54"/>
      <c r="D126" s="80"/>
      <c r="E126" s="119" t="s">
        <v>104</v>
      </c>
      <c r="F126" s="118"/>
      <c r="G126" s="118"/>
      <c r="H126" s="124">
        <f t="shared" si="3"/>
        <v>44.322200000000002</v>
      </c>
      <c r="I126" s="118"/>
      <c r="J126" s="118"/>
      <c r="L126" s="125" t="s">
        <v>74</v>
      </c>
      <c r="M126" s="118"/>
      <c r="N126" s="125" t="s">
        <v>75</v>
      </c>
      <c r="O126" s="118"/>
      <c r="P126" s="126" t="s">
        <v>76</v>
      </c>
      <c r="Q126" s="118"/>
      <c r="R126" s="118"/>
      <c r="S126" s="121"/>
      <c r="T126" s="121"/>
      <c r="U126" s="121"/>
    </row>
    <row r="127" spans="1:21" ht="14.25" customHeight="1" x14ac:dyDescent="0.25">
      <c r="A127" s="54" t="s">
        <v>105</v>
      </c>
      <c r="B127" s="73">
        <f t="shared" si="1"/>
        <v>7.0000000000000001E-3</v>
      </c>
      <c r="C127" s="54"/>
      <c r="D127" s="80"/>
      <c r="E127" s="119" t="s">
        <v>106</v>
      </c>
      <c r="F127" s="118"/>
      <c r="G127" s="118"/>
      <c r="H127" s="124">
        <f t="shared" si="3"/>
        <v>20.963999999999999</v>
      </c>
      <c r="I127" s="118"/>
      <c r="J127" s="118"/>
      <c r="L127" s="54" t="s">
        <v>77</v>
      </c>
      <c r="M127" s="75">
        <f>[1]!b_stm07_bs(K107,9,L107,1)</f>
        <v>9252283442.0499992</v>
      </c>
      <c r="N127" s="54" t="s">
        <v>78</v>
      </c>
      <c r="O127" s="75">
        <f>[1]!b_stm07_is(K107,83,L107,1)</f>
        <v>10957563806.360001</v>
      </c>
      <c r="P127" s="119" t="s">
        <v>79</v>
      </c>
      <c r="Q127" s="118"/>
      <c r="R127" s="118"/>
      <c r="S127" s="120">
        <f>[1]!b_stm07_cs(K107,9,L107,1)</f>
        <v>11475695846.549999</v>
      </c>
      <c r="T127" s="121"/>
      <c r="U127" s="121"/>
    </row>
    <row r="128" spans="1:21" ht="14.25" customHeight="1" x14ac:dyDescent="0.25">
      <c r="A128" s="54" t="s">
        <v>107</v>
      </c>
      <c r="B128" s="73">
        <f t="shared" si="1"/>
        <v>30.9150824892</v>
      </c>
      <c r="C128" s="54"/>
      <c r="D128" s="80"/>
      <c r="E128" s="119" t="s">
        <v>108</v>
      </c>
      <c r="F128" s="118"/>
      <c r="G128" s="118"/>
      <c r="H128" s="123">
        <f t="shared" si="3"/>
        <v>65.682520017399995</v>
      </c>
      <c r="I128" s="118"/>
      <c r="J128" s="118"/>
      <c r="L128" s="54" t="s">
        <v>80</v>
      </c>
      <c r="M128" s="75">
        <f>[1]!b_stm07_bs(K107,12,L107,1)</f>
        <v>1972722001.9400001</v>
      </c>
      <c r="N128" s="54" t="s">
        <v>81</v>
      </c>
      <c r="O128" s="75">
        <f>[1]!b_stm07_is(K107,84,L107,1)</f>
        <v>10042845906.5</v>
      </c>
      <c r="P128" s="119" t="s">
        <v>82</v>
      </c>
      <c r="Q128" s="118"/>
      <c r="R128" s="118"/>
      <c r="S128" s="120">
        <f>[1]!b_stm07_cs(K107,11,L107,1)</f>
        <v>1376725782.3199999</v>
      </c>
      <c r="T128" s="121"/>
      <c r="U128" s="121"/>
    </row>
    <row r="129" spans="1:21" ht="14.25" customHeight="1" x14ac:dyDescent="0.25">
      <c r="A129" s="54" t="s">
        <v>109</v>
      </c>
      <c r="B129" s="79">
        <f t="shared" si="1"/>
        <v>137.97208055870001</v>
      </c>
      <c r="C129" s="14"/>
      <c r="D129" s="13"/>
      <c r="E129" s="119" t="s">
        <v>110</v>
      </c>
      <c r="F129" s="118"/>
      <c r="G129" s="118"/>
      <c r="H129" s="124">
        <f t="shared" si="3"/>
        <v>57.506337933999994</v>
      </c>
      <c r="I129" s="118"/>
      <c r="J129" s="118"/>
      <c r="L129" s="54" t="s">
        <v>83</v>
      </c>
      <c r="M129" s="75">
        <f>[1]!b_stm07_bs(K107,13,L107,1)</f>
        <v>936533911.88</v>
      </c>
      <c r="N129" s="54" t="s">
        <v>84</v>
      </c>
      <c r="O129" s="75">
        <f>[1]!b_stm07_is(K107,10,L107,1)</f>
        <v>4181391516.1599998</v>
      </c>
      <c r="P129" s="119" t="s">
        <v>85</v>
      </c>
      <c r="Q129" s="118"/>
      <c r="R129" s="118"/>
      <c r="S129" s="122">
        <f>[1]!b_stm07_cs(K107,25,L107,1)</f>
        <v>12912769350.26</v>
      </c>
      <c r="T129" s="121"/>
      <c r="U129" s="121"/>
    </row>
    <row r="130" spans="1:21" ht="14.25" customHeight="1" x14ac:dyDescent="0.25">
      <c r="A130" s="54" t="s">
        <v>111</v>
      </c>
      <c r="B130" s="79">
        <f t="shared" si="1"/>
        <v>164.67003468370001</v>
      </c>
      <c r="C130" s="14"/>
      <c r="D130" s="13"/>
      <c r="E130" s="119" t="s">
        <v>112</v>
      </c>
      <c r="F130" s="118"/>
      <c r="G130" s="118"/>
      <c r="H130" s="124">
        <f t="shared" si="3"/>
        <v>64.318092140900006</v>
      </c>
      <c r="I130" s="118"/>
      <c r="J130" s="118"/>
      <c r="L130" s="54" t="s">
        <v>86</v>
      </c>
      <c r="M130" s="75">
        <f>[1]!b_stm07_bs(K107,31,L107,1)</f>
        <v>4599745004.8900003</v>
      </c>
      <c r="N130" s="54" t="s">
        <v>87</v>
      </c>
      <c r="O130" s="75">
        <f>[1]!b_stm07_is(K107,12,L107,1)</f>
        <v>3981722891.3899999</v>
      </c>
      <c r="P130" s="119" t="s">
        <v>88</v>
      </c>
      <c r="Q130" s="118"/>
      <c r="R130" s="118"/>
      <c r="S130" s="120">
        <f>[1]!b_stm07_cs(K107,26,L107,1)</f>
        <v>3141064896.6500001</v>
      </c>
      <c r="T130" s="121"/>
      <c r="U130" s="121"/>
    </row>
    <row r="131" spans="1:21" ht="14.25" customHeight="1" x14ac:dyDescent="0.25">
      <c r="A131" s="15" t="s">
        <v>113</v>
      </c>
      <c r="B131" s="79">
        <f t="shared" si="1"/>
        <v>302.6421152424</v>
      </c>
      <c r="C131" s="14"/>
      <c r="D131" s="13"/>
      <c r="E131" s="119" t="s">
        <v>114</v>
      </c>
      <c r="F131" s="118"/>
      <c r="G131" s="118"/>
      <c r="H131" s="123">
        <f t="shared" si="3"/>
        <v>1.3644278765</v>
      </c>
      <c r="I131" s="118"/>
      <c r="J131" s="118"/>
      <c r="L131" s="54" t="s">
        <v>89</v>
      </c>
      <c r="M131" s="75">
        <f>[1]!b_stm07_bs(K107,33,L107,1)</f>
        <v>317708562.76999998</v>
      </c>
      <c r="N131" s="54" t="s">
        <v>90</v>
      </c>
      <c r="O131" s="75">
        <f>[1]!b_stm07_is(K107,13,L107,1)</f>
        <v>1252981638.0699999</v>
      </c>
      <c r="P131" s="119" t="s">
        <v>91</v>
      </c>
      <c r="Q131" s="118"/>
      <c r="R131" s="118"/>
      <c r="S131" s="120">
        <f>[1]!b_stm07_cs(K107,29,L107,1)</f>
        <v>5388335627.9899998</v>
      </c>
      <c r="T131" s="121"/>
      <c r="U131" s="121"/>
    </row>
    <row r="132" spans="1:21" x14ac:dyDescent="0.25">
      <c r="L132" s="54" t="s">
        <v>92</v>
      </c>
      <c r="M132" s="75">
        <f>[1]!b_stm07_bs(K107,37,L107,1)</f>
        <v>3047227352.1199999</v>
      </c>
      <c r="N132" s="54" t="s">
        <v>93</v>
      </c>
      <c r="O132" s="75">
        <f>[1]!b_stm07_is(K107,14,L107,1)</f>
        <v>312161398.77999997</v>
      </c>
      <c r="P132" s="119" t="s">
        <v>94</v>
      </c>
      <c r="Q132" s="118"/>
      <c r="R132" s="118"/>
      <c r="S132" s="122">
        <f>[1]!b_stm07_cs(K107,37,L107,1)</f>
        <v>11113320424.9</v>
      </c>
      <c r="T132" s="121"/>
      <c r="U132" s="121"/>
    </row>
    <row r="133" spans="1:21" x14ac:dyDescent="0.25">
      <c r="L133" s="54" t="s">
        <v>95</v>
      </c>
      <c r="M133" s="81">
        <f>[1]!b_stm07_bs(K107,74,L107,1)</f>
        <v>30264211524.240002</v>
      </c>
      <c r="N133" s="54" t="s">
        <v>96</v>
      </c>
      <c r="O133" s="75">
        <f>[1]!b_stm07_is(K107,48,L107,1)</f>
        <v>5886327988.71</v>
      </c>
      <c r="P133" s="119" t="s">
        <v>97</v>
      </c>
      <c r="Q133" s="118"/>
      <c r="R133" s="118"/>
      <c r="S133" s="122">
        <f>[1]!b_stm07_cs(K107,39,L107,1)</f>
        <v>1799448925.3599999</v>
      </c>
      <c r="T133" s="121"/>
      <c r="U133" s="121"/>
    </row>
    <row r="134" spans="1:21" x14ac:dyDescent="0.25">
      <c r="L134" s="54" t="s">
        <v>98</v>
      </c>
      <c r="M134" s="75">
        <f>[1]!b_stm07_bs(K107,75,L107,1)</f>
        <v>1010661100</v>
      </c>
      <c r="N134" s="54" t="s">
        <v>99</v>
      </c>
      <c r="O134" s="75">
        <f>[1]!b_stm07_is(K107,55,L107,1)</f>
        <v>5951372213.9700003</v>
      </c>
      <c r="P134" s="119" t="s">
        <v>100</v>
      </c>
      <c r="Q134" s="118"/>
      <c r="R134" s="118"/>
      <c r="S134" s="122">
        <f>[1]!b_stm07_cs(K107,59,L107,1)</f>
        <v>4350592393.6199999</v>
      </c>
      <c r="T134" s="121"/>
      <c r="U134" s="121"/>
    </row>
    <row r="135" spans="1:21" ht="32.4" customHeight="1" x14ac:dyDescent="0.25">
      <c r="L135" s="54" t="s">
        <v>101</v>
      </c>
      <c r="M135" s="75">
        <f>[1]!b_stm07_bs(K107,88,L107,1)</f>
        <v>1298819278.6400001</v>
      </c>
      <c r="N135" s="54" t="s">
        <v>43</v>
      </c>
      <c r="O135" s="75">
        <f>[1]!b_stm07_is(K107,60,L107,1)</f>
        <v>4659239822.3500004</v>
      </c>
      <c r="P135" s="119" t="s">
        <v>102</v>
      </c>
      <c r="Q135" s="118"/>
      <c r="R135" s="118"/>
      <c r="S135" s="120">
        <f>[1]!b_stm07_cs(K107,60,L107,1)</f>
        <v>15000000</v>
      </c>
      <c r="T135" s="121"/>
      <c r="U135" s="121"/>
    </row>
    <row r="136" spans="1:21" ht="21.6" customHeight="1" x14ac:dyDescent="0.25">
      <c r="L136" s="54" t="s">
        <v>103</v>
      </c>
      <c r="M136" s="75">
        <f>[1]!b_stm07_bs(K107,147,L107,1)</f>
        <v>0</v>
      </c>
      <c r="N136" s="54"/>
      <c r="O136" s="80"/>
      <c r="P136" s="119" t="s">
        <v>104</v>
      </c>
      <c r="Q136" s="118"/>
      <c r="R136" s="118"/>
      <c r="S136" s="120">
        <f>[1]!b_stm07_cs(K107,61,L107,1)</f>
        <v>4432220000</v>
      </c>
      <c r="T136" s="121"/>
      <c r="U136" s="121"/>
    </row>
    <row r="137" spans="1:21" x14ac:dyDescent="0.25">
      <c r="L137" s="54" t="s">
        <v>105</v>
      </c>
      <c r="M137" s="75">
        <f>[1]!b_stm07_bs(K107,94,L107,1)</f>
        <v>700000</v>
      </c>
      <c r="N137" s="54"/>
      <c r="O137" s="80"/>
      <c r="P137" s="119" t="s">
        <v>106</v>
      </c>
      <c r="Q137" s="118"/>
      <c r="R137" s="118"/>
      <c r="S137" s="120">
        <f>[1]!b_stm07_cs(K107,63,L107,1)</f>
        <v>2096400000</v>
      </c>
      <c r="T137" s="121"/>
      <c r="U137" s="121"/>
    </row>
    <row r="138" spans="1:21" x14ac:dyDescent="0.25">
      <c r="L138" s="54" t="s">
        <v>107</v>
      </c>
      <c r="M138" s="75">
        <f>[1]!b_stm07_bs(K107,95,L107,1)</f>
        <v>3091508248.9200001</v>
      </c>
      <c r="N138" s="54"/>
      <c r="O138" s="80"/>
      <c r="P138" s="119" t="s">
        <v>108</v>
      </c>
      <c r="Q138" s="118"/>
      <c r="R138" s="118"/>
      <c r="S138" s="122">
        <f>[1]!b_stm07_cs(K107,68,L107,1)</f>
        <v>6568252001.7399998</v>
      </c>
      <c r="T138" s="121"/>
      <c r="U138" s="121"/>
    </row>
    <row r="139" spans="1:21" x14ac:dyDescent="0.25">
      <c r="L139" s="54" t="s">
        <v>109</v>
      </c>
      <c r="M139" s="81">
        <f>[1]!b_stm07_bs(K107,128,L107,1)</f>
        <v>13797208055.870001</v>
      </c>
      <c r="N139" s="14"/>
      <c r="O139" s="13"/>
      <c r="P139" s="119" t="s">
        <v>110</v>
      </c>
      <c r="Q139" s="118"/>
      <c r="R139" s="118"/>
      <c r="S139" s="120">
        <f>[1]!b_stm07_cs(K107,69,L107,1)</f>
        <v>5750633793.3999996</v>
      </c>
      <c r="T139" s="121"/>
      <c r="U139" s="121"/>
    </row>
    <row r="140" spans="1:21" ht="21.6" customHeight="1" x14ac:dyDescent="0.25">
      <c r="L140" s="54" t="s">
        <v>111</v>
      </c>
      <c r="M140" s="81">
        <f>[1]!b_stm07_bs(K107,141,L107,1)</f>
        <v>16467003468.370001</v>
      </c>
      <c r="N140" s="14"/>
      <c r="O140" s="13"/>
      <c r="P140" s="119" t="s">
        <v>112</v>
      </c>
      <c r="Q140" s="118"/>
      <c r="R140" s="118"/>
      <c r="S140" s="120">
        <f>[1]!b_stm07_cs(K107,75,L107,1)</f>
        <v>6431809214.0900002</v>
      </c>
      <c r="T140" s="121"/>
      <c r="U140" s="121"/>
    </row>
    <row r="141" spans="1:21" ht="21.6" customHeight="1" x14ac:dyDescent="0.25">
      <c r="L141" s="15" t="s">
        <v>113</v>
      </c>
      <c r="M141" s="81">
        <f>[1]!b_stm07_bs(K107,145,L107,1)</f>
        <v>30264211524.240002</v>
      </c>
      <c r="N141" s="14"/>
      <c r="O141" s="13"/>
      <c r="P141" s="119" t="s">
        <v>114</v>
      </c>
      <c r="Q141" s="118"/>
      <c r="R141" s="118"/>
      <c r="S141" s="122">
        <f>[1]!b_stm07_cs(K107,77,L107,1)</f>
        <v>136442787.65000001</v>
      </c>
      <c r="T141" s="121"/>
      <c r="U141" s="121"/>
    </row>
  </sheetData>
  <mergeCells count="89">
    <mergeCell ref="A3:G3"/>
    <mergeCell ref="B4:C4"/>
    <mergeCell ref="E4:G4"/>
    <mergeCell ref="B5:C5"/>
    <mergeCell ref="E5:G5"/>
    <mergeCell ref="B6:G6"/>
    <mergeCell ref="B7:E7"/>
    <mergeCell ref="B8:E8"/>
    <mergeCell ref="B9:E9"/>
    <mergeCell ref="B10:E10"/>
    <mergeCell ref="B11:E11"/>
    <mergeCell ref="A106:J106"/>
    <mergeCell ref="A107:F107"/>
    <mergeCell ref="G107:J107"/>
    <mergeCell ref="A108:B108"/>
    <mergeCell ref="C108:D108"/>
    <mergeCell ref="E108:F108"/>
    <mergeCell ref="G108:H108"/>
    <mergeCell ref="I108:J108"/>
    <mergeCell ref="A114:J114"/>
    <mergeCell ref="A115:F115"/>
    <mergeCell ref="G115:J115"/>
    <mergeCell ref="A116:B116"/>
    <mergeCell ref="C116:D116"/>
    <mergeCell ref="E116:J116"/>
    <mergeCell ref="E117:G117"/>
    <mergeCell ref="H117:J117"/>
    <mergeCell ref="E118:G118"/>
    <mergeCell ref="H118:J118"/>
    <mergeCell ref="E119:G119"/>
    <mergeCell ref="H119:J119"/>
    <mergeCell ref="E120:G120"/>
    <mergeCell ref="H120:J120"/>
    <mergeCell ref="E121:G121"/>
    <mergeCell ref="H121:J121"/>
    <mergeCell ref="E122:G122"/>
    <mergeCell ref="H122:J122"/>
    <mergeCell ref="E123:G123"/>
    <mergeCell ref="H123:J123"/>
    <mergeCell ref="E124:G124"/>
    <mergeCell ref="H124:J124"/>
    <mergeCell ref="E125:G125"/>
    <mergeCell ref="H125:J125"/>
    <mergeCell ref="E126:G126"/>
    <mergeCell ref="H126:J126"/>
    <mergeCell ref="L126:M126"/>
    <mergeCell ref="N126:O126"/>
    <mergeCell ref="P126:U126"/>
    <mergeCell ref="E127:G127"/>
    <mergeCell ref="H127:J127"/>
    <mergeCell ref="P127:R127"/>
    <mergeCell ref="S127:U127"/>
    <mergeCell ref="E128:G128"/>
    <mergeCell ref="H128:J128"/>
    <mergeCell ref="P128:R128"/>
    <mergeCell ref="S128:U128"/>
    <mergeCell ref="E129:G129"/>
    <mergeCell ref="H129:J129"/>
    <mergeCell ref="P129:R129"/>
    <mergeCell ref="S129:U129"/>
    <mergeCell ref="E130:G130"/>
    <mergeCell ref="H130:J130"/>
    <mergeCell ref="P130:R130"/>
    <mergeCell ref="S130:U130"/>
    <mergeCell ref="E131:G131"/>
    <mergeCell ref="H131:J131"/>
    <mergeCell ref="P131:R131"/>
    <mergeCell ref="S131:U131"/>
    <mergeCell ref="P132:R132"/>
    <mergeCell ref="S132:U132"/>
    <mergeCell ref="P141:R141"/>
    <mergeCell ref="S141:U141"/>
    <mergeCell ref="P136:R136"/>
    <mergeCell ref="S136:U136"/>
    <mergeCell ref="P137:R137"/>
    <mergeCell ref="S137:U137"/>
    <mergeCell ref="P138:R138"/>
    <mergeCell ref="S138:U138"/>
    <mergeCell ref="K15:K29"/>
    <mergeCell ref="P139:R139"/>
    <mergeCell ref="S139:U139"/>
    <mergeCell ref="P140:R140"/>
    <mergeCell ref="S140:U140"/>
    <mergeCell ref="P133:R133"/>
    <mergeCell ref="S133:U133"/>
    <mergeCell ref="P134:R134"/>
    <mergeCell ref="S134:U134"/>
    <mergeCell ref="P135:R135"/>
    <mergeCell ref="S135:U13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43" t="s">
        <v>1</v>
      </c>
      <c r="B1" s="128"/>
      <c r="C1" s="128"/>
      <c r="D1" s="128"/>
      <c r="E1" s="128"/>
      <c r="F1" s="128"/>
      <c r="G1" s="128"/>
    </row>
    <row r="2" spans="1:12" ht="13.5" customHeight="1" x14ac:dyDescent="0.25">
      <c r="A2" s="57" t="s">
        <v>2</v>
      </c>
      <c r="B2" s="138" t="s">
        <v>257</v>
      </c>
      <c r="C2" s="133"/>
      <c r="D2" s="57" t="s">
        <v>3</v>
      </c>
      <c r="E2" s="138" t="s">
        <v>258</v>
      </c>
      <c r="F2" s="133"/>
      <c r="G2" s="133"/>
    </row>
    <row r="3" spans="1:12" ht="14.25" customHeight="1" x14ac:dyDescent="0.25">
      <c r="A3" s="57" t="s">
        <v>4</v>
      </c>
      <c r="B3" s="138" t="s">
        <v>259</v>
      </c>
      <c r="C3" s="133"/>
      <c r="D3" s="57" t="s">
        <v>5</v>
      </c>
      <c r="E3" s="138" t="s">
        <v>260</v>
      </c>
      <c r="F3" s="133"/>
      <c r="G3" s="133"/>
    </row>
    <row r="4" spans="1:12" ht="113.25" customHeight="1" x14ac:dyDescent="0.25">
      <c r="A4" s="57" t="s">
        <v>6</v>
      </c>
      <c r="B4" s="136" t="s">
        <v>261</v>
      </c>
      <c r="C4" s="133"/>
      <c r="D4" s="133"/>
      <c r="E4" s="133"/>
      <c r="F4" s="133"/>
      <c r="G4" s="133"/>
    </row>
    <row r="5" spans="1:12" ht="14.4" x14ac:dyDescent="0.25">
      <c r="A5" s="82" t="s">
        <v>115</v>
      </c>
      <c r="B5" s="141" t="s">
        <v>262</v>
      </c>
      <c r="C5" s="133"/>
      <c r="D5" s="133"/>
      <c r="E5" s="133"/>
      <c r="F5" s="142">
        <v>0.9</v>
      </c>
      <c r="G5" s="133"/>
    </row>
    <row r="6" spans="1:12" ht="11.25" customHeight="1" x14ac:dyDescent="0.25">
      <c r="A6" s="82" t="s">
        <v>116</v>
      </c>
      <c r="B6" s="141" t="s">
        <v>263</v>
      </c>
      <c r="C6" s="133"/>
      <c r="D6" s="133"/>
      <c r="E6" s="133"/>
      <c r="F6" s="142">
        <v>0.1</v>
      </c>
      <c r="G6" s="133"/>
    </row>
    <row r="7" spans="1:12" ht="11.25" customHeight="1" x14ac:dyDescent="0.25">
      <c r="A7" s="82" t="s">
        <v>117</v>
      </c>
      <c r="B7" s="141" t="s">
        <v>264</v>
      </c>
      <c r="C7" s="133"/>
      <c r="D7" s="133"/>
      <c r="E7" s="133"/>
      <c r="F7" s="142" t="s">
        <v>264</v>
      </c>
      <c r="G7" s="133"/>
    </row>
    <row r="8" spans="1:12" ht="11.25" customHeight="1" x14ac:dyDescent="0.25">
      <c r="A8" s="82" t="s">
        <v>118</v>
      </c>
      <c r="B8" s="141" t="s">
        <v>264</v>
      </c>
      <c r="C8" s="133"/>
      <c r="D8" s="133"/>
      <c r="E8" s="133"/>
      <c r="F8" s="142" t="s">
        <v>264</v>
      </c>
      <c r="G8" s="133"/>
    </row>
    <row r="9" spans="1:12" ht="11.25" customHeight="1" x14ac:dyDescent="0.25">
      <c r="A9" s="82" t="s">
        <v>119</v>
      </c>
      <c r="B9" s="141" t="s">
        <v>264</v>
      </c>
      <c r="C9" s="133"/>
      <c r="D9" s="133"/>
      <c r="E9" s="133"/>
      <c r="F9" s="142" t="s">
        <v>264</v>
      </c>
      <c r="G9" s="133"/>
    </row>
    <row r="11" spans="1:12" ht="14.4" customHeight="1" x14ac:dyDescent="0.25">
      <c r="A11" s="140" t="s">
        <v>120</v>
      </c>
      <c r="B11" s="133"/>
      <c r="C11" s="133"/>
      <c r="D11" s="133"/>
      <c r="E11" s="133"/>
      <c r="F11" s="133"/>
      <c r="G11" s="133"/>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4.28</v>
      </c>
      <c r="E13" s="64">
        <v>0.96448087431693985</v>
      </c>
      <c r="F13" s="65" t="s">
        <v>265</v>
      </c>
      <c r="G13" s="64">
        <v>7</v>
      </c>
    </row>
    <row r="14" spans="1:12" ht="14.4" customHeight="1" x14ac:dyDescent="0.25">
      <c r="A14" t="s">
        <v>124</v>
      </c>
      <c r="B14" t="s">
        <v>125</v>
      </c>
      <c r="C14" t="s">
        <v>126</v>
      </c>
      <c r="D14" s="64">
        <v>5.15</v>
      </c>
      <c r="E14" s="83">
        <v>1.7479452054794522</v>
      </c>
      <c r="F14" t="s">
        <v>25</v>
      </c>
      <c r="G14" s="64">
        <v>7</v>
      </c>
    </row>
    <row r="15" spans="1:12" ht="14.4" customHeight="1" x14ac:dyDescent="0.25">
      <c r="A15" t="s">
        <v>127</v>
      </c>
      <c r="B15" t="s">
        <v>128</v>
      </c>
      <c r="C15" t="s">
        <v>129</v>
      </c>
      <c r="D15" s="64">
        <v>4.8</v>
      </c>
      <c r="E15" s="83">
        <v>0.34520547945205482</v>
      </c>
      <c r="F15">
        <v>0</v>
      </c>
      <c r="G15" s="64">
        <v>4</v>
      </c>
    </row>
    <row r="16" spans="1:12" ht="14.4" customHeight="1" x14ac:dyDescent="0.25">
      <c r="A16" t="s">
        <v>130</v>
      </c>
      <c r="B16" t="s">
        <v>131</v>
      </c>
      <c r="C16" t="s">
        <v>132</v>
      </c>
      <c r="D16" s="64">
        <v>6.1</v>
      </c>
      <c r="E16" s="83">
        <v>0</v>
      </c>
      <c r="F16" t="s">
        <v>265</v>
      </c>
      <c r="G16" s="64">
        <v>5</v>
      </c>
    </row>
    <row r="17" spans="1:7" ht="14.4" customHeight="1" x14ac:dyDescent="0.25">
      <c r="A17" t="s">
        <v>133</v>
      </c>
      <c r="B17" t="s">
        <v>134</v>
      </c>
      <c r="C17" t="s">
        <v>135</v>
      </c>
      <c r="D17" s="64">
        <v>6.2</v>
      </c>
      <c r="E17" s="83">
        <v>0.11780821917808219</v>
      </c>
      <c r="F17" t="s">
        <v>265</v>
      </c>
      <c r="G17" s="64">
        <v>6</v>
      </c>
    </row>
    <row r="18" spans="1:7" ht="14.4" customHeight="1" x14ac:dyDescent="0.25">
      <c r="A18" t="s">
        <v>136</v>
      </c>
      <c r="B18" t="s">
        <v>137</v>
      </c>
      <c r="C18" t="s">
        <v>138</v>
      </c>
      <c r="D18" s="64">
        <v>5.24</v>
      </c>
      <c r="E18" s="83">
        <v>1.9178082191780823E-2</v>
      </c>
      <c r="F18" t="s">
        <v>265</v>
      </c>
      <c r="G18" s="64">
        <v>5</v>
      </c>
    </row>
    <row r="19" spans="1:7" ht="14.4" customHeight="1" x14ac:dyDescent="0.25">
      <c r="A19" t="s">
        <v>139</v>
      </c>
      <c r="B19" t="s">
        <v>140</v>
      </c>
      <c r="C19" t="s">
        <v>141</v>
      </c>
      <c r="D19" s="64">
        <v>6.59</v>
      </c>
      <c r="E19" s="83">
        <v>1.8273972602739725</v>
      </c>
      <c r="F19" t="s">
        <v>25</v>
      </c>
      <c r="G19" s="64">
        <v>5.5</v>
      </c>
    </row>
    <row r="20" spans="1:7" ht="14.4" customHeight="1" x14ac:dyDescent="0.25">
      <c r="A20" t="s">
        <v>142</v>
      </c>
      <c r="B20" t="s">
        <v>143</v>
      </c>
      <c r="C20" t="s">
        <v>144</v>
      </c>
      <c r="D20" s="64">
        <v>5.08</v>
      </c>
      <c r="E20" s="83">
        <v>0</v>
      </c>
      <c r="F20">
        <v>0</v>
      </c>
      <c r="G20" s="64">
        <v>10.5</v>
      </c>
    </row>
    <row r="21" spans="1:7" ht="14.4" customHeight="1" x14ac:dyDescent="0.25">
      <c r="A21" t="s">
        <v>145</v>
      </c>
      <c r="B21" t="s">
        <v>146</v>
      </c>
      <c r="C21" t="s">
        <v>147</v>
      </c>
      <c r="D21" s="64">
        <v>5.13</v>
      </c>
      <c r="E21" s="83">
        <v>1.3561643835616439</v>
      </c>
      <c r="F21" t="s">
        <v>25</v>
      </c>
      <c r="G21" s="64">
        <v>3.5</v>
      </c>
    </row>
    <row r="22" spans="1:7" ht="14.4" customHeight="1" x14ac:dyDescent="0.25">
      <c r="A22" t="s">
        <v>148</v>
      </c>
      <c r="B22" t="s">
        <v>149</v>
      </c>
      <c r="C22" t="s">
        <v>150</v>
      </c>
      <c r="D22" s="64">
        <v>5.05</v>
      </c>
      <c r="E22" s="83">
        <v>1.252054794520548</v>
      </c>
      <c r="F22" t="s">
        <v>25</v>
      </c>
      <c r="G22" s="64">
        <v>3.5</v>
      </c>
    </row>
    <row r="23" spans="1:7" ht="14.4" customHeight="1" x14ac:dyDescent="0.25">
      <c r="A23" t="s">
        <v>151</v>
      </c>
      <c r="B23" t="s">
        <v>152</v>
      </c>
      <c r="C23" t="s">
        <v>153</v>
      </c>
      <c r="D23" s="64">
        <v>5.4</v>
      </c>
      <c r="E23" s="83">
        <v>0</v>
      </c>
      <c r="F23">
        <v>0</v>
      </c>
      <c r="G23" s="64">
        <v>3.5</v>
      </c>
    </row>
    <row r="24" spans="1:7" ht="14.4" customHeight="1" x14ac:dyDescent="0.25">
      <c r="A24" t="s">
        <v>154</v>
      </c>
      <c r="B24" t="s">
        <v>155</v>
      </c>
      <c r="C24" t="s">
        <v>156</v>
      </c>
      <c r="D24" s="64">
        <v>4.9000000000000004</v>
      </c>
      <c r="E24" s="83">
        <v>0.88797814207650272</v>
      </c>
      <c r="F24" t="s">
        <v>25</v>
      </c>
      <c r="G24" s="64">
        <v>5</v>
      </c>
    </row>
    <row r="25" spans="1:7" ht="14.4" customHeight="1" x14ac:dyDescent="0.25">
      <c r="A25" t="s">
        <v>157</v>
      </c>
      <c r="B25" t="s">
        <v>158</v>
      </c>
      <c r="C25" t="s">
        <v>159</v>
      </c>
      <c r="D25" s="64">
        <v>4.42</v>
      </c>
      <c r="E25" s="83">
        <v>0</v>
      </c>
      <c r="F25">
        <v>0</v>
      </c>
      <c r="G25" s="64">
        <v>5</v>
      </c>
    </row>
    <row r="26" spans="1:7" ht="14.4" customHeight="1" x14ac:dyDescent="0.25">
      <c r="A26" t="s">
        <v>160</v>
      </c>
      <c r="B26" t="s">
        <v>161</v>
      </c>
      <c r="C26" t="s">
        <v>162</v>
      </c>
      <c r="D26" s="64">
        <v>4.45</v>
      </c>
      <c r="E26" s="83">
        <v>0</v>
      </c>
      <c r="F26">
        <v>0</v>
      </c>
      <c r="G26" s="64">
        <v>9</v>
      </c>
    </row>
    <row r="27" spans="1:7" ht="14.4" customHeight="1" x14ac:dyDescent="0.25">
      <c r="A27" t="s">
        <v>163</v>
      </c>
      <c r="B27" t="s">
        <v>164</v>
      </c>
      <c r="C27" t="s">
        <v>165</v>
      </c>
      <c r="D27" s="64">
        <v>3.14</v>
      </c>
      <c r="E27" s="83">
        <v>0</v>
      </c>
      <c r="F27">
        <v>0</v>
      </c>
      <c r="G27" s="64">
        <v>7</v>
      </c>
    </row>
    <row r="28" spans="1:7" ht="14.4" customHeight="1" x14ac:dyDescent="0.25">
      <c r="A28" t="s">
        <v>166</v>
      </c>
      <c r="B28" t="s">
        <v>167</v>
      </c>
      <c r="C28" t="s">
        <v>168</v>
      </c>
      <c r="D28" s="64">
        <v>3.88</v>
      </c>
      <c r="E28" s="83">
        <v>0</v>
      </c>
      <c r="F28">
        <v>0</v>
      </c>
      <c r="G28" s="64">
        <v>5</v>
      </c>
    </row>
    <row r="29" spans="1:7" ht="14.4" customHeight="1" x14ac:dyDescent="0.25">
      <c r="A29" t="s">
        <v>169</v>
      </c>
      <c r="B29" t="s">
        <v>170</v>
      </c>
      <c r="C29" t="s">
        <v>171</v>
      </c>
      <c r="D29" s="64">
        <v>3.58</v>
      </c>
      <c r="E29" s="83">
        <v>0</v>
      </c>
      <c r="F29">
        <v>0</v>
      </c>
      <c r="G29" s="64">
        <v>9</v>
      </c>
    </row>
    <row r="30" spans="1:7" ht="14.4" customHeight="1" x14ac:dyDescent="0.25">
      <c r="A30" t="s">
        <v>172</v>
      </c>
      <c r="B30" t="s">
        <v>173</v>
      </c>
      <c r="C30" t="s">
        <v>174</v>
      </c>
      <c r="D30" s="64">
        <v>3</v>
      </c>
      <c r="E30" s="83">
        <v>0</v>
      </c>
      <c r="F30" t="s">
        <v>265</v>
      </c>
      <c r="G30" s="64">
        <v>3</v>
      </c>
    </row>
    <row r="31" spans="1:7" ht="14.4" customHeight="1" x14ac:dyDescent="0.25">
      <c r="A31" t="s">
        <v>175</v>
      </c>
      <c r="B31" t="s">
        <v>173</v>
      </c>
      <c r="C31" t="s">
        <v>176</v>
      </c>
      <c r="D31" s="64">
        <v>3.77</v>
      </c>
      <c r="E31" s="83">
        <v>0</v>
      </c>
      <c r="F31" t="s">
        <v>25</v>
      </c>
      <c r="G31" s="64">
        <v>7</v>
      </c>
    </row>
    <row r="32" spans="1:7" ht="14.4" customHeight="1" x14ac:dyDescent="0.25">
      <c r="A32" t="s">
        <v>177</v>
      </c>
      <c r="B32" t="s">
        <v>178</v>
      </c>
      <c r="C32" t="s">
        <v>179</v>
      </c>
      <c r="D32" s="64">
        <v>3.5</v>
      </c>
      <c r="E32" s="83">
        <v>0</v>
      </c>
      <c r="F32" t="s">
        <v>265</v>
      </c>
      <c r="G32" s="64">
        <v>7</v>
      </c>
    </row>
    <row r="33" spans="1:7" ht="14.4" customHeight="1" x14ac:dyDescent="0.25">
      <c r="A33" t="s">
        <v>180</v>
      </c>
      <c r="B33" t="s">
        <v>181</v>
      </c>
      <c r="C33" t="s">
        <v>182</v>
      </c>
      <c r="D33" s="64">
        <v>5.4</v>
      </c>
      <c r="E33" s="83">
        <v>0</v>
      </c>
      <c r="F33" t="s">
        <v>25</v>
      </c>
      <c r="G33" s="64">
        <v>3</v>
      </c>
    </row>
    <row r="34" spans="1:7" ht="14.4" customHeight="1" x14ac:dyDescent="0.25">
      <c r="A34" t="s">
        <v>183</v>
      </c>
      <c r="B34" t="s">
        <v>184</v>
      </c>
      <c r="C34" t="s">
        <v>185</v>
      </c>
      <c r="D34" s="64">
        <v>4.28</v>
      </c>
      <c r="E34" s="83">
        <v>0</v>
      </c>
      <c r="F34" t="s">
        <v>265</v>
      </c>
      <c r="G34" s="64">
        <v>9</v>
      </c>
    </row>
    <row r="35" spans="1:7" ht="14.4" customHeight="1" x14ac:dyDescent="0.25">
      <c r="D35" s="64"/>
      <c r="E35" s="83"/>
      <c r="G35" s="64"/>
    </row>
    <row r="36" spans="1:7" ht="14.4" customHeight="1" x14ac:dyDescent="0.25">
      <c r="D36" s="64"/>
      <c r="E36" s="83"/>
      <c r="G36" s="64"/>
    </row>
    <row r="37" spans="1:7" ht="14.4" customHeight="1" x14ac:dyDescent="0.25">
      <c r="D37" s="64"/>
      <c r="E37" s="83"/>
      <c r="G37" s="64"/>
    </row>
    <row r="38" spans="1:7" ht="14.4" customHeight="1" x14ac:dyDescent="0.25">
      <c r="D38" s="64"/>
      <c r="E38" s="83"/>
      <c r="G38" s="64"/>
    </row>
    <row r="39" spans="1:7" ht="14.4" customHeight="1" x14ac:dyDescent="0.25">
      <c r="D39" s="64"/>
      <c r="E39" s="83"/>
      <c r="G39" s="64"/>
    </row>
    <row r="40" spans="1:7" ht="14.4" customHeight="1" x14ac:dyDescent="0.25">
      <c r="A40" s="139" t="s">
        <v>186</v>
      </c>
      <c r="B40" s="139"/>
      <c r="C40" s="139"/>
      <c r="D40" s="139"/>
      <c r="E40" s="83"/>
      <c r="G40" s="64"/>
    </row>
    <row r="41" spans="1:7" ht="14.4" customHeight="1" x14ac:dyDescent="0.25">
      <c r="A41" s="84" t="s">
        <v>187</v>
      </c>
      <c r="B41" s="84" t="s">
        <v>188</v>
      </c>
      <c r="C41" s="84" t="s">
        <v>189</v>
      </c>
      <c r="D41" s="85" t="s">
        <v>190</v>
      </c>
      <c r="E41" s="83"/>
      <c r="G41" s="64"/>
    </row>
    <row r="42" spans="1:7" ht="14.4" customHeight="1" x14ac:dyDescent="0.25">
      <c r="A42" t="s">
        <v>191</v>
      </c>
      <c r="B42" t="s">
        <v>25</v>
      </c>
      <c r="C42" t="s">
        <v>192</v>
      </c>
      <c r="D42" s="64" t="s">
        <v>193</v>
      </c>
      <c r="E42" s="83"/>
      <c r="G42" s="64"/>
    </row>
    <row r="43" spans="1:7" ht="14.4" customHeight="1" x14ac:dyDescent="0.25">
      <c r="A43" t="s">
        <v>194</v>
      </c>
      <c r="B43" t="s">
        <v>25</v>
      </c>
      <c r="C43" t="s">
        <v>192</v>
      </c>
      <c r="D43" s="64" t="s">
        <v>193</v>
      </c>
      <c r="E43" s="83"/>
      <c r="G43" s="64"/>
    </row>
    <row r="44" spans="1:7" ht="14.4" customHeight="1" x14ac:dyDescent="0.25">
      <c r="A44" t="s">
        <v>195</v>
      </c>
      <c r="B44" t="s">
        <v>25</v>
      </c>
      <c r="C44" t="s">
        <v>192</v>
      </c>
      <c r="D44" s="64" t="s">
        <v>193</v>
      </c>
      <c r="E44" s="83"/>
      <c r="G44" s="64"/>
    </row>
    <row r="45" spans="1:7" ht="14.4" customHeight="1" x14ac:dyDescent="0.25">
      <c r="A45" t="s">
        <v>196</v>
      </c>
      <c r="B45" t="s">
        <v>25</v>
      </c>
      <c r="C45" t="s">
        <v>192</v>
      </c>
      <c r="D45" s="64" t="s">
        <v>193</v>
      </c>
      <c r="E45" s="83"/>
      <c r="G45" s="64"/>
    </row>
    <row r="46" spans="1:7" ht="14.4" customHeight="1" x14ac:dyDescent="0.25">
      <c r="A46" t="s">
        <v>197</v>
      </c>
      <c r="B46" t="s">
        <v>25</v>
      </c>
      <c r="C46" t="s">
        <v>192</v>
      </c>
      <c r="D46" s="64" t="s">
        <v>193</v>
      </c>
      <c r="E46" s="83"/>
      <c r="G46" s="64"/>
    </row>
    <row r="47" spans="1:7" ht="14.4" customHeight="1" x14ac:dyDescent="0.25">
      <c r="A47" t="s">
        <v>198</v>
      </c>
      <c r="B47" t="s">
        <v>25</v>
      </c>
      <c r="C47" t="s">
        <v>192</v>
      </c>
      <c r="D47" s="64" t="s">
        <v>193</v>
      </c>
      <c r="E47" s="83"/>
      <c r="G47" s="64"/>
    </row>
    <row r="48" spans="1:7" ht="14.4" customHeight="1" x14ac:dyDescent="0.25">
      <c r="A48" t="s">
        <v>199</v>
      </c>
      <c r="B48" t="s">
        <v>25</v>
      </c>
      <c r="C48" t="s">
        <v>192</v>
      </c>
      <c r="D48" s="64" t="s">
        <v>193</v>
      </c>
      <c r="E48" s="83"/>
      <c r="G48" s="64"/>
    </row>
    <row r="49" spans="1:7" ht="14.4" customHeight="1" x14ac:dyDescent="0.25">
      <c r="A49" t="s">
        <v>200</v>
      </c>
      <c r="B49" t="s">
        <v>25</v>
      </c>
      <c r="C49" t="s">
        <v>192</v>
      </c>
      <c r="D49" s="64" t="s">
        <v>193</v>
      </c>
      <c r="E49" s="83"/>
      <c r="G49" s="64"/>
    </row>
    <row r="50" spans="1:7" ht="14.4" customHeight="1" x14ac:dyDescent="0.25">
      <c r="A50" t="s">
        <v>201</v>
      </c>
      <c r="B50" t="s">
        <v>25</v>
      </c>
      <c r="C50" t="s">
        <v>192</v>
      </c>
      <c r="D50" s="64" t="s">
        <v>193</v>
      </c>
      <c r="E50" s="83"/>
      <c r="G50" s="64"/>
    </row>
    <row r="51" spans="1:7" ht="14.4" customHeight="1" x14ac:dyDescent="0.25">
      <c r="A51" t="s">
        <v>202</v>
      </c>
      <c r="B51" t="s">
        <v>25</v>
      </c>
      <c r="C51" t="s">
        <v>192</v>
      </c>
      <c r="D51" s="64" t="s">
        <v>193</v>
      </c>
      <c r="E51" s="83"/>
      <c r="G51" s="64"/>
    </row>
    <row r="52" spans="1:7" ht="14.4" customHeight="1" x14ac:dyDescent="0.25">
      <c r="A52" t="s">
        <v>203</v>
      </c>
      <c r="B52" t="s">
        <v>25</v>
      </c>
      <c r="C52" t="s">
        <v>192</v>
      </c>
      <c r="D52" s="64" t="s">
        <v>193</v>
      </c>
      <c r="E52" s="83"/>
      <c r="G52" s="64"/>
    </row>
    <row r="53" spans="1:7" ht="14.4" customHeight="1" x14ac:dyDescent="0.25">
      <c r="A53" t="s">
        <v>204</v>
      </c>
      <c r="B53" t="s">
        <v>25</v>
      </c>
      <c r="C53" t="s">
        <v>192</v>
      </c>
      <c r="D53" s="64" t="s">
        <v>193</v>
      </c>
      <c r="E53" s="83"/>
      <c r="G53" s="64"/>
    </row>
    <row r="54" spans="1:7" ht="14.4" customHeight="1" x14ac:dyDescent="0.25">
      <c r="A54" t="s">
        <v>205</v>
      </c>
      <c r="B54" t="s">
        <v>25</v>
      </c>
      <c r="C54" t="s">
        <v>192</v>
      </c>
      <c r="D54" s="64" t="s">
        <v>193</v>
      </c>
      <c r="E54" s="83"/>
      <c r="G54" s="64"/>
    </row>
    <row r="55" spans="1:7" ht="14.4" customHeight="1" x14ac:dyDescent="0.25">
      <c r="A55" t="s">
        <v>206</v>
      </c>
      <c r="B55" t="s">
        <v>25</v>
      </c>
      <c r="C55" t="s">
        <v>192</v>
      </c>
      <c r="D55" s="64" t="s">
        <v>193</v>
      </c>
      <c r="E55" s="83"/>
      <c r="G55" s="64"/>
    </row>
    <row r="56" spans="1:7" ht="14.4" customHeight="1" x14ac:dyDescent="0.25">
      <c r="D56" s="64"/>
      <c r="E56" s="83"/>
      <c r="G56" s="64"/>
    </row>
    <row r="57" spans="1:7" ht="14.4" customHeight="1" x14ac:dyDescent="0.25">
      <c r="D57" s="64"/>
      <c r="E57" s="83"/>
      <c r="G57" s="64"/>
    </row>
    <row r="58" spans="1:7" ht="14.4" customHeight="1" x14ac:dyDescent="0.25">
      <c r="D58" s="64"/>
      <c r="E58" s="83"/>
      <c r="G58" s="64"/>
    </row>
    <row r="59" spans="1:7" ht="14.4" customHeight="1" x14ac:dyDescent="0.25">
      <c r="D59" s="64"/>
      <c r="E59" s="83"/>
      <c r="G59" s="64"/>
    </row>
    <row r="60" spans="1:7" ht="14.4" customHeight="1" x14ac:dyDescent="0.25">
      <c r="D60" s="64"/>
      <c r="E60" s="83"/>
      <c r="G60" s="64"/>
    </row>
    <row r="61" spans="1:7" ht="14.4" customHeight="1" x14ac:dyDescent="0.25">
      <c r="D61" s="64"/>
      <c r="E61" s="83"/>
      <c r="G61" s="64"/>
    </row>
    <row r="62" spans="1:7" ht="14.4" customHeight="1" x14ac:dyDescent="0.25">
      <c r="D62" s="64"/>
      <c r="E62" s="83"/>
      <c r="G62" s="64"/>
    </row>
    <row r="63" spans="1:7" ht="14.4" customHeight="1" x14ac:dyDescent="0.25">
      <c r="D63" s="64"/>
      <c r="E63" s="83"/>
      <c r="G63" s="64"/>
    </row>
    <row r="64" spans="1: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207</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1:G1"/>
    <mergeCell ref="B2:C2"/>
    <mergeCell ref="E2:G2"/>
    <mergeCell ref="B3:C3"/>
    <mergeCell ref="E3:G3"/>
    <mergeCell ref="B4:G4"/>
    <mergeCell ref="B5:E5"/>
    <mergeCell ref="F5:G5"/>
    <mergeCell ref="B6:E6"/>
    <mergeCell ref="F6:G6"/>
    <mergeCell ref="A40:D40"/>
    <mergeCell ref="A11:G11"/>
    <mergeCell ref="B7:E7"/>
    <mergeCell ref="F7:G7"/>
    <mergeCell ref="B8:E8"/>
    <mergeCell ref="F8:G8"/>
    <mergeCell ref="B9:E9"/>
    <mergeCell ref="F9:G9"/>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6" t="s">
        <v>54</v>
      </c>
      <c r="B1" s="133"/>
      <c r="C1" s="133"/>
      <c r="D1" s="133"/>
      <c r="E1" s="133"/>
      <c r="F1" s="133"/>
      <c r="G1" s="133"/>
      <c r="H1" s="133"/>
      <c r="I1" s="133"/>
      <c r="J1" s="133"/>
    </row>
    <row r="2" spans="1:10" x14ac:dyDescent="0.25">
      <c r="A2" s="140" t="s">
        <v>55</v>
      </c>
      <c r="B2" s="133"/>
      <c r="C2" s="133"/>
      <c r="D2" s="133"/>
      <c r="E2" s="133"/>
      <c r="F2" s="133"/>
      <c r="G2" s="148">
        <v>2017</v>
      </c>
      <c r="H2" s="133"/>
      <c r="I2" s="133"/>
      <c r="J2" s="133"/>
    </row>
    <row r="3" spans="1:10" ht="12.75" customHeight="1" x14ac:dyDescent="0.25">
      <c r="A3" s="140" t="s">
        <v>56</v>
      </c>
      <c r="B3" s="133"/>
      <c r="C3" s="140" t="s">
        <v>57</v>
      </c>
      <c r="D3" s="133"/>
      <c r="E3" s="140" t="s">
        <v>58</v>
      </c>
      <c r="F3" s="133"/>
      <c r="G3" s="140" t="s">
        <v>59</v>
      </c>
      <c r="H3" s="133"/>
      <c r="I3" s="140" t="s">
        <v>60</v>
      </c>
      <c r="J3" s="133"/>
    </row>
    <row r="4" spans="1:10" ht="21.6" customHeight="1" x14ac:dyDescent="0.25">
      <c r="A4" s="57" t="s">
        <v>61</v>
      </c>
      <c r="B4" s="86">
        <v>0.45589199999999996</v>
      </c>
      <c r="C4" s="57" t="s">
        <v>36</v>
      </c>
      <c r="D4" s="87">
        <v>1.7154</v>
      </c>
      <c r="E4" s="57" t="s">
        <v>41</v>
      </c>
      <c r="F4" s="86">
        <v>1.0472999999999999</v>
      </c>
      <c r="G4" s="57" t="s">
        <v>42</v>
      </c>
      <c r="H4" s="86">
        <v>0.61840099999999998</v>
      </c>
      <c r="I4" s="57"/>
      <c r="J4" s="88"/>
    </row>
    <row r="5" spans="1:10" ht="15.75" customHeight="1" x14ac:dyDescent="0.25">
      <c r="A5" s="57" t="s">
        <v>62</v>
      </c>
      <c r="B5" s="86">
        <v>0.54025699999999999</v>
      </c>
      <c r="C5" s="57" t="s">
        <v>63</v>
      </c>
      <c r="D5" s="87">
        <v>1.5724</v>
      </c>
      <c r="E5" s="57" t="s">
        <v>64</v>
      </c>
      <c r="F5" s="87">
        <v>5.3792</v>
      </c>
      <c r="G5" s="57" t="s">
        <v>65</v>
      </c>
      <c r="H5" s="86">
        <v>0.53719299999999992</v>
      </c>
      <c r="I5" s="57"/>
      <c r="J5" s="88"/>
    </row>
    <row r="6" spans="1:10" ht="15" customHeight="1" x14ac:dyDescent="0.25">
      <c r="A6" s="57" t="s">
        <v>66</v>
      </c>
      <c r="B6" s="86">
        <v>0.69081700000000001</v>
      </c>
      <c r="C6" s="57" t="s">
        <v>39</v>
      </c>
      <c r="D6" s="89">
        <v>0.49740000000000001</v>
      </c>
      <c r="E6" s="57" t="s">
        <v>67</v>
      </c>
      <c r="F6" s="87">
        <v>2.9984000000000002</v>
      </c>
      <c r="G6" s="57" t="s">
        <v>45</v>
      </c>
      <c r="H6" s="86">
        <v>0.21448</v>
      </c>
      <c r="I6" s="57"/>
      <c r="J6" s="88"/>
    </row>
    <row r="7" spans="1:10" ht="14.25" customHeight="1" x14ac:dyDescent="0.25">
      <c r="A7" s="57" t="s">
        <v>38</v>
      </c>
      <c r="B7" s="89">
        <v>0.33437137805346107</v>
      </c>
      <c r="C7" s="57" t="s">
        <v>68</v>
      </c>
      <c r="D7" s="89">
        <v>24.7349</v>
      </c>
      <c r="E7" s="57" t="s">
        <v>69</v>
      </c>
      <c r="F7" s="87">
        <v>0.82489999999999997</v>
      </c>
      <c r="G7" s="57" t="s">
        <v>70</v>
      </c>
      <c r="H7" s="86">
        <v>0.2306</v>
      </c>
      <c r="I7" s="57"/>
      <c r="J7" s="88"/>
    </row>
    <row r="8" spans="1:10" x14ac:dyDescent="0.25">
      <c r="A8" s="57"/>
      <c r="B8" s="90"/>
      <c r="C8" s="57"/>
      <c r="D8" s="91"/>
      <c r="E8" s="57" t="s">
        <v>71</v>
      </c>
      <c r="F8" s="87">
        <v>0.40739999999999998</v>
      </c>
      <c r="G8" s="57"/>
      <c r="H8" s="90"/>
      <c r="I8" s="57"/>
      <c r="J8" s="90"/>
    </row>
    <row r="9" spans="1:10" ht="13.5" customHeight="1" x14ac:dyDescent="0.25">
      <c r="A9" s="146" t="s">
        <v>72</v>
      </c>
      <c r="B9" s="133"/>
      <c r="C9" s="133"/>
      <c r="D9" s="133"/>
      <c r="E9" s="133"/>
      <c r="F9" s="133"/>
      <c r="G9" s="133"/>
      <c r="H9" s="133"/>
      <c r="I9" s="133"/>
      <c r="J9" s="133"/>
    </row>
    <row r="10" spans="1:10" ht="13.5" customHeight="1" x14ac:dyDescent="0.25">
      <c r="A10" s="140" t="s">
        <v>73</v>
      </c>
      <c r="B10" s="133"/>
      <c r="C10" s="133"/>
      <c r="D10" s="133"/>
      <c r="E10" s="133"/>
      <c r="F10" s="133"/>
      <c r="G10" s="147">
        <v>2017</v>
      </c>
      <c r="H10" s="133"/>
      <c r="I10" s="133"/>
      <c r="J10" s="133"/>
    </row>
    <row r="11" spans="1:10" x14ac:dyDescent="0.25">
      <c r="A11" s="140" t="s">
        <v>74</v>
      </c>
      <c r="B11" s="133"/>
      <c r="C11" s="140" t="s">
        <v>75</v>
      </c>
      <c r="D11" s="133"/>
      <c r="E11" s="140" t="s">
        <v>76</v>
      </c>
      <c r="F11" s="133"/>
      <c r="G11" s="133"/>
      <c r="H11" s="133"/>
      <c r="I11" s="133"/>
      <c r="J11" s="133"/>
    </row>
    <row r="12" spans="1:10" ht="14.25" customHeight="1" x14ac:dyDescent="0.25">
      <c r="A12" s="57" t="s">
        <v>77</v>
      </c>
      <c r="B12" s="92">
        <v>92.52283442049999</v>
      </c>
      <c r="C12" s="57" t="s">
        <v>78</v>
      </c>
      <c r="D12" s="89">
        <v>109.57563806360001</v>
      </c>
      <c r="E12" s="144" t="s">
        <v>79</v>
      </c>
      <c r="F12" s="133"/>
      <c r="G12" s="133"/>
      <c r="H12" s="145">
        <v>114.75695846549999</v>
      </c>
      <c r="I12" s="133"/>
      <c r="J12" s="133"/>
    </row>
    <row r="13" spans="1:10" ht="14.25" customHeight="1" x14ac:dyDescent="0.25">
      <c r="A13" s="57" t="s">
        <v>80</v>
      </c>
      <c r="B13" s="92">
        <v>19.727220019400001</v>
      </c>
      <c r="C13" s="57" t="s">
        <v>81</v>
      </c>
      <c r="D13" s="89">
        <v>100.428459065</v>
      </c>
      <c r="E13" s="144" t="s">
        <v>82</v>
      </c>
      <c r="F13" s="133"/>
      <c r="G13" s="133"/>
      <c r="H13" s="145">
        <v>13.7672578232</v>
      </c>
      <c r="I13" s="133"/>
      <c r="J13" s="133"/>
    </row>
    <row r="14" spans="1:10" ht="14.25" customHeight="1" x14ac:dyDescent="0.25">
      <c r="A14" s="57" t="s">
        <v>83</v>
      </c>
      <c r="B14" s="92">
        <v>9.3653391187999997</v>
      </c>
      <c r="C14" s="57" t="s">
        <v>84</v>
      </c>
      <c r="D14" s="89">
        <v>41.813915161600001</v>
      </c>
      <c r="E14" s="144" t="s">
        <v>85</v>
      </c>
      <c r="F14" s="133"/>
      <c r="G14" s="133"/>
      <c r="H14" s="145">
        <v>129.12769350260001</v>
      </c>
      <c r="I14" s="133"/>
      <c r="J14" s="133"/>
    </row>
    <row r="15" spans="1:10" ht="14.25" customHeight="1" x14ac:dyDescent="0.25">
      <c r="A15" s="57" t="s">
        <v>86</v>
      </c>
      <c r="B15" s="92">
        <v>45.997450048900006</v>
      </c>
      <c r="C15" s="57" t="s">
        <v>87</v>
      </c>
      <c r="D15" s="89">
        <v>39.817228913899996</v>
      </c>
      <c r="E15" s="144" t="s">
        <v>88</v>
      </c>
      <c r="F15" s="133"/>
      <c r="G15" s="133"/>
      <c r="H15" s="145">
        <v>31.410648966500002</v>
      </c>
      <c r="I15" s="133"/>
      <c r="J15" s="133"/>
    </row>
    <row r="16" spans="1:10" ht="14.25" customHeight="1" x14ac:dyDescent="0.25">
      <c r="A16" s="57" t="s">
        <v>89</v>
      </c>
      <c r="B16" s="92">
        <v>3.1770856276999999</v>
      </c>
      <c r="C16" s="57" t="s">
        <v>90</v>
      </c>
      <c r="D16" s="89">
        <v>12.5298163807</v>
      </c>
      <c r="E16" s="144" t="s">
        <v>91</v>
      </c>
      <c r="F16" s="133"/>
      <c r="G16" s="133"/>
      <c r="H16" s="145">
        <v>53.883356279899999</v>
      </c>
      <c r="I16" s="133"/>
      <c r="J16" s="133"/>
    </row>
    <row r="17" spans="1:10" ht="14.25" customHeight="1" x14ac:dyDescent="0.25">
      <c r="A17" s="57" t="s">
        <v>92</v>
      </c>
      <c r="B17" s="92">
        <v>30.472273521199998</v>
      </c>
      <c r="C17" s="57" t="s">
        <v>93</v>
      </c>
      <c r="D17" s="89">
        <v>3.1216139877999995</v>
      </c>
      <c r="E17" s="144" t="s">
        <v>94</v>
      </c>
      <c r="F17" s="133"/>
      <c r="G17" s="133"/>
      <c r="H17" s="145">
        <v>111.133204249</v>
      </c>
      <c r="I17" s="133"/>
      <c r="J17" s="133"/>
    </row>
    <row r="18" spans="1:10" ht="14.25" customHeight="1" x14ac:dyDescent="0.25">
      <c r="A18" s="57" t="s">
        <v>95</v>
      </c>
      <c r="B18" s="92">
        <v>302.6421152424</v>
      </c>
      <c r="C18" s="57" t="s">
        <v>96</v>
      </c>
      <c r="D18" s="89">
        <v>58.863279887099999</v>
      </c>
      <c r="E18" s="144" t="s">
        <v>97</v>
      </c>
      <c r="F18" s="133"/>
      <c r="G18" s="133"/>
      <c r="H18" s="145">
        <v>17.994489253599998</v>
      </c>
      <c r="I18" s="133"/>
      <c r="J18" s="133"/>
    </row>
    <row r="19" spans="1:10" ht="14.25" customHeight="1" x14ac:dyDescent="0.25">
      <c r="A19" s="57" t="s">
        <v>98</v>
      </c>
      <c r="B19" s="92">
        <v>10.106610999999999</v>
      </c>
      <c r="C19" s="57" t="s">
        <v>99</v>
      </c>
      <c r="D19" s="89">
        <v>59.5137221397</v>
      </c>
      <c r="E19" s="144" t="s">
        <v>100</v>
      </c>
      <c r="F19" s="133"/>
      <c r="G19" s="133"/>
      <c r="H19" s="145">
        <v>43.505923936199999</v>
      </c>
      <c r="I19" s="133"/>
      <c r="J19" s="133"/>
    </row>
    <row r="20" spans="1:10" ht="27" customHeight="1" x14ac:dyDescent="0.25">
      <c r="A20" s="57" t="s">
        <v>101</v>
      </c>
      <c r="B20" s="92">
        <v>12.988192786400001</v>
      </c>
      <c r="C20" s="57" t="s">
        <v>43</v>
      </c>
      <c r="D20" s="89">
        <v>46.592398223500005</v>
      </c>
      <c r="E20" s="144" t="s">
        <v>102</v>
      </c>
      <c r="F20" s="133"/>
      <c r="G20" s="133"/>
      <c r="H20" s="145">
        <v>0.15</v>
      </c>
      <c r="I20" s="133"/>
      <c r="J20" s="133"/>
    </row>
    <row r="21" spans="1:10" ht="16.5" customHeight="1" x14ac:dyDescent="0.25">
      <c r="A21" s="57" t="s">
        <v>103</v>
      </c>
      <c r="B21" s="92">
        <v>0</v>
      </c>
      <c r="C21" s="57"/>
      <c r="D21" s="93"/>
      <c r="E21" s="144" t="s">
        <v>104</v>
      </c>
      <c r="F21" s="133"/>
      <c r="G21" s="133"/>
      <c r="H21" s="145">
        <v>44.322200000000002</v>
      </c>
      <c r="I21" s="133"/>
      <c r="J21" s="133"/>
    </row>
    <row r="22" spans="1:10" ht="14.25" customHeight="1" x14ac:dyDescent="0.25">
      <c r="A22" s="57" t="s">
        <v>105</v>
      </c>
      <c r="B22" s="92">
        <v>7.0000000000000001E-3</v>
      </c>
      <c r="C22" s="57"/>
      <c r="D22" s="93"/>
      <c r="E22" s="144" t="s">
        <v>106</v>
      </c>
      <c r="F22" s="133"/>
      <c r="G22" s="133"/>
      <c r="H22" s="145">
        <v>20.963999999999999</v>
      </c>
      <c r="I22" s="133"/>
      <c r="J22" s="133"/>
    </row>
    <row r="23" spans="1:10" ht="14.25" customHeight="1" x14ac:dyDescent="0.25">
      <c r="A23" s="57" t="s">
        <v>107</v>
      </c>
      <c r="B23" s="92">
        <v>30.9150824892</v>
      </c>
      <c r="C23" s="57"/>
      <c r="D23" s="93"/>
      <c r="E23" s="144" t="s">
        <v>108</v>
      </c>
      <c r="F23" s="133"/>
      <c r="G23" s="133"/>
      <c r="H23" s="145">
        <v>65.682520017399995</v>
      </c>
      <c r="I23" s="133"/>
      <c r="J23" s="133"/>
    </row>
    <row r="24" spans="1:10" ht="14.25" customHeight="1" x14ac:dyDescent="0.25">
      <c r="A24" s="57" t="s">
        <v>109</v>
      </c>
      <c r="B24" s="92">
        <v>137.97208055870001</v>
      </c>
      <c r="C24" s="94"/>
      <c r="D24" s="91"/>
      <c r="E24" s="144" t="s">
        <v>110</v>
      </c>
      <c r="F24" s="133"/>
      <c r="G24" s="133"/>
      <c r="H24" s="145">
        <v>57.506337933999994</v>
      </c>
      <c r="I24" s="133"/>
      <c r="J24" s="133"/>
    </row>
    <row r="25" spans="1:10" ht="14.25" customHeight="1" x14ac:dyDescent="0.25">
      <c r="A25" s="57" t="s">
        <v>111</v>
      </c>
      <c r="B25" s="92">
        <v>164.67003468370001</v>
      </c>
      <c r="C25" s="94"/>
      <c r="D25" s="91"/>
      <c r="E25" s="144" t="s">
        <v>112</v>
      </c>
      <c r="F25" s="133"/>
      <c r="G25" s="133"/>
      <c r="H25" s="145">
        <v>64.318092140900006</v>
      </c>
      <c r="I25" s="133"/>
      <c r="J25" s="133"/>
    </row>
    <row r="26" spans="1:10" ht="14.25" customHeight="1" x14ac:dyDescent="0.25">
      <c r="A26" s="95" t="s">
        <v>113</v>
      </c>
      <c r="B26" s="92">
        <v>302.6421152424</v>
      </c>
      <c r="C26" s="94"/>
      <c r="D26" s="91"/>
      <c r="E26" s="144" t="s">
        <v>114</v>
      </c>
      <c r="F26" s="133"/>
      <c r="G26" s="133"/>
      <c r="H26" s="145">
        <v>1.3644278765</v>
      </c>
      <c r="I26" s="133"/>
      <c r="J26" s="133"/>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A1:J1"/>
    <mergeCell ref="A2:F2"/>
    <mergeCell ref="G2:J2"/>
    <mergeCell ref="A3:B3"/>
    <mergeCell ref="C3:D3"/>
    <mergeCell ref="E3:F3"/>
    <mergeCell ref="G3:H3"/>
    <mergeCell ref="I3:J3"/>
    <mergeCell ref="A9:J9"/>
    <mergeCell ref="A10:F10"/>
    <mergeCell ref="G10:J10"/>
    <mergeCell ref="A11:B11"/>
    <mergeCell ref="C11:D11"/>
    <mergeCell ref="E11:J11"/>
    <mergeCell ref="E12:G12"/>
    <mergeCell ref="H12:J12"/>
    <mergeCell ref="E13:G13"/>
    <mergeCell ref="H13:J13"/>
    <mergeCell ref="E14:G14"/>
    <mergeCell ref="H14:J14"/>
    <mergeCell ref="E15:G15"/>
    <mergeCell ref="H15:J15"/>
    <mergeCell ref="E16:G16"/>
    <mergeCell ref="H16:J16"/>
    <mergeCell ref="E17:G17"/>
    <mergeCell ref="H17:J17"/>
    <mergeCell ref="E18:G18"/>
    <mergeCell ref="H18:J18"/>
    <mergeCell ref="E19:G19"/>
    <mergeCell ref="H19:J19"/>
    <mergeCell ref="E20:G20"/>
    <mergeCell ref="H20:J20"/>
    <mergeCell ref="E21:G21"/>
    <mergeCell ref="H21:J21"/>
    <mergeCell ref="E22:G22"/>
    <mergeCell ref="H22:J22"/>
    <mergeCell ref="E23:G23"/>
    <mergeCell ref="H23:J23"/>
    <mergeCell ref="E24:G24"/>
    <mergeCell ref="H24:J24"/>
    <mergeCell ref="E25:G25"/>
    <mergeCell ref="H25:J25"/>
    <mergeCell ref="E26:G26"/>
    <mergeCell ref="H26:J26"/>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7" t="s">
        <v>208</v>
      </c>
      <c r="B1" s="118"/>
      <c r="C1" s="118"/>
      <c r="D1" s="118"/>
      <c r="E1" s="118"/>
      <c r="F1" s="118"/>
      <c r="G1" s="118"/>
      <c r="H1" s="118"/>
      <c r="I1" s="118"/>
    </row>
    <row r="2" spans="1:10" ht="46.5" customHeight="1" x14ac:dyDescent="0.25">
      <c r="A2" s="54" t="s">
        <v>22</v>
      </c>
      <c r="B2" s="43" t="s">
        <v>257</v>
      </c>
      <c r="C2" s="43" t="s">
        <v>209</v>
      </c>
      <c r="D2" s="43" t="s">
        <v>266</v>
      </c>
      <c r="E2" s="43" t="s">
        <v>267</v>
      </c>
      <c r="F2" s="43" t="s">
        <v>224</v>
      </c>
      <c r="G2" s="43" t="s">
        <v>268</v>
      </c>
      <c r="H2" s="43" t="s">
        <v>269</v>
      </c>
      <c r="I2" s="43" t="s">
        <v>217</v>
      </c>
      <c r="J2" s="43" t="s">
        <v>270</v>
      </c>
    </row>
    <row r="3" spans="1:10" x14ac:dyDescent="0.25">
      <c r="A3" s="54" t="s">
        <v>24</v>
      </c>
      <c r="B3" s="97" t="s">
        <v>25</v>
      </c>
      <c r="C3" s="98" t="s">
        <v>210</v>
      </c>
      <c r="D3" s="97" t="s">
        <v>25</v>
      </c>
      <c r="E3" s="97" t="s">
        <v>25</v>
      </c>
      <c r="F3" s="97" t="s">
        <v>25</v>
      </c>
      <c r="G3" s="97" t="s">
        <v>25</v>
      </c>
      <c r="H3" s="97" t="s">
        <v>25</v>
      </c>
      <c r="I3" s="97" t="s">
        <v>25</v>
      </c>
      <c r="J3" s="97" t="s">
        <v>25</v>
      </c>
    </row>
    <row r="4" spans="1:10" s="7" customFormat="1" x14ac:dyDescent="0.25">
      <c r="A4" s="9" t="s">
        <v>3</v>
      </c>
      <c r="B4" s="99" t="s">
        <v>258</v>
      </c>
      <c r="C4" s="98" t="s">
        <v>210</v>
      </c>
      <c r="D4" s="99" t="s">
        <v>258</v>
      </c>
      <c r="E4" s="99" t="s">
        <v>271</v>
      </c>
      <c r="F4" s="99" t="s">
        <v>258</v>
      </c>
      <c r="G4" s="99" t="s">
        <v>271</v>
      </c>
      <c r="H4" s="99" t="s">
        <v>271</v>
      </c>
      <c r="I4" s="99" t="s">
        <v>258</v>
      </c>
      <c r="J4" s="99" t="s">
        <v>258</v>
      </c>
    </row>
    <row r="5" spans="1:10" s="7" customFormat="1" x14ac:dyDescent="0.25">
      <c r="A5" s="9" t="s">
        <v>29</v>
      </c>
      <c r="B5" s="100" t="s">
        <v>30</v>
      </c>
      <c r="C5" s="98" t="s">
        <v>210</v>
      </c>
      <c r="D5" s="100" t="s">
        <v>30</v>
      </c>
      <c r="E5" s="100" t="s">
        <v>30</v>
      </c>
      <c r="F5" s="100" t="s">
        <v>30</v>
      </c>
      <c r="G5" s="100" t="s">
        <v>30</v>
      </c>
      <c r="H5" s="100" t="s">
        <v>30</v>
      </c>
      <c r="I5" s="100" t="s">
        <v>30</v>
      </c>
      <c r="J5" s="100" t="s">
        <v>30</v>
      </c>
    </row>
    <row r="6" spans="1:10" x14ac:dyDescent="0.25">
      <c r="A6" s="54" t="s">
        <v>32</v>
      </c>
      <c r="B6" s="101">
        <v>302.6421152424</v>
      </c>
      <c r="C6" s="98">
        <v>420.08596569474281</v>
      </c>
      <c r="D6" s="101">
        <v>789.67711506979992</v>
      </c>
      <c r="E6" s="101">
        <v>216.36418678909999</v>
      </c>
      <c r="F6" s="101">
        <v>687.22020630609995</v>
      </c>
      <c r="G6" s="101">
        <v>227.87367368860001</v>
      </c>
      <c r="H6" s="101">
        <v>517.46911444339992</v>
      </c>
      <c r="I6" s="101">
        <v>279.88160462000002</v>
      </c>
      <c r="J6" s="101">
        <v>222.11585894619998</v>
      </c>
    </row>
    <row r="7" spans="1:10" x14ac:dyDescent="0.25">
      <c r="A7" s="54" t="s">
        <v>34</v>
      </c>
      <c r="B7" s="44">
        <v>0.45589199999999996</v>
      </c>
      <c r="C7" s="98">
        <v>0.55663614285714291</v>
      </c>
      <c r="D7" s="44">
        <v>0.54918100000000003</v>
      </c>
      <c r="E7" s="44">
        <v>0.63601700000000005</v>
      </c>
      <c r="F7" s="44">
        <v>0.53239199999999998</v>
      </c>
      <c r="G7" s="44">
        <v>0.66824299999999992</v>
      </c>
      <c r="H7" s="44">
        <v>0.55184299999999997</v>
      </c>
      <c r="I7" s="44">
        <v>0.57187399999999999</v>
      </c>
      <c r="J7" s="44">
        <v>0.386903</v>
      </c>
    </row>
    <row r="8" spans="1:10" x14ac:dyDescent="0.25">
      <c r="A8" s="54" t="s">
        <v>36</v>
      </c>
      <c r="B8" s="101">
        <v>1.7154</v>
      </c>
      <c r="C8" s="98">
        <v>1.360557142857143</v>
      </c>
      <c r="D8" s="101">
        <v>1.35</v>
      </c>
      <c r="E8" s="101">
        <v>0.85929999999999995</v>
      </c>
      <c r="F8" s="101">
        <v>2.2056</v>
      </c>
      <c r="G8" s="101">
        <v>0.80010000000000003</v>
      </c>
      <c r="H8" s="101">
        <v>1.2655000000000001</v>
      </c>
      <c r="I8" s="101">
        <v>0.97699999999999998</v>
      </c>
      <c r="J8" s="101">
        <v>2.0663999999999998</v>
      </c>
    </row>
    <row r="9" spans="1:10" x14ac:dyDescent="0.25">
      <c r="A9" s="54" t="s">
        <v>38</v>
      </c>
      <c r="B9" s="97">
        <v>0.33437137805346107</v>
      </c>
      <c r="C9" s="98">
        <v>0.86988632668878885</v>
      </c>
      <c r="D9" s="97">
        <v>0.77336537006488304</v>
      </c>
      <c r="E9" s="97">
        <v>1.3620219369271049</v>
      </c>
      <c r="F9" s="97">
        <v>0.70576402855433684</v>
      </c>
      <c r="G9" s="97">
        <v>1.6333741193463229</v>
      </c>
      <c r="H9" s="97">
        <v>0.78054066745554429</v>
      </c>
      <c r="I9" s="97">
        <v>0.63648217177664235</v>
      </c>
      <c r="J9" s="97">
        <v>0.19765599269668649</v>
      </c>
    </row>
    <row r="10" spans="1:10" ht="21.6" customHeight="1" x14ac:dyDescent="0.25">
      <c r="A10" s="54" t="s">
        <v>39</v>
      </c>
      <c r="B10" s="101">
        <v>0.49740000000000001</v>
      </c>
      <c r="C10" s="98">
        <v>0.21114285714285713</v>
      </c>
      <c r="D10" s="101">
        <v>0.1232</v>
      </c>
      <c r="E10" s="101">
        <v>9.5000000000000001E-2</v>
      </c>
      <c r="F10" s="101">
        <v>0.17130000000000001</v>
      </c>
      <c r="G10" s="101">
        <v>9.1800000000000007E-2</v>
      </c>
      <c r="H10" s="101">
        <v>8.2299999999999998E-2</v>
      </c>
      <c r="I10" s="101">
        <v>0.15340000000000001</v>
      </c>
      <c r="J10" s="101">
        <v>0.76100000000000001</v>
      </c>
    </row>
    <row r="11" spans="1:10" x14ac:dyDescent="0.25">
      <c r="A11" s="54" t="s">
        <v>40</v>
      </c>
      <c r="B11" s="101">
        <v>109.57563806360001</v>
      </c>
      <c r="C11" s="98">
        <v>162.38856344102854</v>
      </c>
      <c r="D11" s="101">
        <v>232.11105445619998</v>
      </c>
      <c r="E11" s="101">
        <v>105.7152672316</v>
      </c>
      <c r="F11" s="101">
        <v>264.76970977569999</v>
      </c>
      <c r="G11" s="101">
        <v>108.63452218739999</v>
      </c>
      <c r="H11" s="101">
        <v>203.3473201482</v>
      </c>
      <c r="I11" s="101">
        <v>114.34948841000001</v>
      </c>
      <c r="J11" s="101">
        <v>107.79258187809999</v>
      </c>
    </row>
    <row r="12" spans="1:10" s="7" customFormat="1" x14ac:dyDescent="0.25">
      <c r="A12" s="9" t="s">
        <v>41</v>
      </c>
      <c r="B12" s="45">
        <v>1.0472999999999999</v>
      </c>
      <c r="C12" s="98">
        <v>1.0271000000000001</v>
      </c>
      <c r="D12" s="45">
        <v>1.0928</v>
      </c>
      <c r="E12" s="45">
        <v>0.9788</v>
      </c>
      <c r="F12" s="45">
        <v>1.0865</v>
      </c>
      <c r="G12" s="45">
        <v>0.98540000000000005</v>
      </c>
      <c r="H12" s="45">
        <v>0.94269999999999998</v>
      </c>
      <c r="I12" s="45">
        <v>1.0561</v>
      </c>
      <c r="J12" s="45">
        <v>1.0474000000000001</v>
      </c>
    </row>
    <row r="13" spans="1:10" s="7" customFormat="1" x14ac:dyDescent="0.25">
      <c r="A13" s="9" t="s">
        <v>42</v>
      </c>
      <c r="B13" s="45">
        <v>0.61840099999999998</v>
      </c>
      <c r="C13" s="98">
        <v>0.38183271428571425</v>
      </c>
      <c r="D13" s="45">
        <v>0.34087899999999999</v>
      </c>
      <c r="E13" s="45">
        <v>0.31521500000000002</v>
      </c>
      <c r="F13" s="45">
        <v>0.30316199999999999</v>
      </c>
      <c r="G13" s="45">
        <v>0.31289699999999998</v>
      </c>
      <c r="H13" s="45">
        <v>0.25941999999999998</v>
      </c>
      <c r="I13" s="45">
        <v>0.51309199999999999</v>
      </c>
      <c r="J13" s="45">
        <v>0.62816400000000006</v>
      </c>
    </row>
    <row r="14" spans="1:10" s="7" customFormat="1" x14ac:dyDescent="0.25">
      <c r="A14" s="9" t="s">
        <v>43</v>
      </c>
      <c r="B14" s="102">
        <v>46.592398223500005</v>
      </c>
      <c r="C14" s="98">
        <v>19.442912504057144</v>
      </c>
      <c r="D14" s="102">
        <v>26.982142140100002</v>
      </c>
      <c r="E14" s="102">
        <v>2.3156622324999998</v>
      </c>
      <c r="F14" s="102">
        <v>40.946462371799996</v>
      </c>
      <c r="G14" s="102">
        <v>2.1386303372</v>
      </c>
      <c r="H14" s="102">
        <v>8.8793554195000013</v>
      </c>
      <c r="I14" s="102">
        <v>8.1108264699999992</v>
      </c>
      <c r="J14" s="102">
        <v>46.727308557299999</v>
      </c>
    </row>
    <row r="15" spans="1:10" x14ac:dyDescent="0.25">
      <c r="A15" s="54" t="s">
        <v>45</v>
      </c>
      <c r="B15" s="44">
        <v>0.21448</v>
      </c>
      <c r="C15" s="98">
        <v>8.7608000000000005E-2</v>
      </c>
      <c r="D15" s="44">
        <v>7.7287999999999996E-2</v>
      </c>
      <c r="E15" s="44">
        <v>2.013E-3</v>
      </c>
      <c r="F15" s="44">
        <v>0.13413</v>
      </c>
      <c r="G15" s="44">
        <v>-1.4985999999999999E-2</v>
      </c>
      <c r="H15" s="44">
        <v>1.5973000000000001E-2</v>
      </c>
      <c r="I15" s="44">
        <v>6.4715999999999996E-2</v>
      </c>
      <c r="J15" s="44">
        <v>0.33412199999999997</v>
      </c>
    </row>
    <row r="16" spans="1:10" s="7" customFormat="1" ht="25.8" customHeight="1" x14ac:dyDescent="0.25">
      <c r="A16" s="9" t="s">
        <v>46</v>
      </c>
      <c r="B16" s="102">
        <v>17.994489253599998</v>
      </c>
      <c r="C16" s="98">
        <v>12.512474149428572</v>
      </c>
      <c r="D16" s="102">
        <v>11.7834045467</v>
      </c>
      <c r="E16" s="102">
        <v>12.407082473900001</v>
      </c>
      <c r="F16" s="102">
        <v>18.427942378399997</v>
      </c>
      <c r="G16" s="102">
        <v>13.760589836199999</v>
      </c>
      <c r="H16" s="102">
        <v>1.4793305559000001</v>
      </c>
      <c r="I16" s="102">
        <v>11.025208279999999</v>
      </c>
      <c r="J16" s="102">
        <v>18.7037609749</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2"/>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211</v>
      </c>
      <c r="B1" s="118"/>
      <c r="C1" s="118"/>
      <c r="D1" s="118"/>
      <c r="E1" s="118"/>
      <c r="F1" s="118"/>
    </row>
    <row r="2" spans="1:6" x14ac:dyDescent="0.25">
      <c r="A2" s="51" t="s">
        <v>212</v>
      </c>
      <c r="B2" s="50" t="s">
        <v>213</v>
      </c>
      <c r="C2" s="50" t="s">
        <v>214</v>
      </c>
      <c r="D2" s="50" t="s">
        <v>215</v>
      </c>
      <c r="E2" s="50" t="s">
        <v>190</v>
      </c>
      <c r="F2" s="50" t="s">
        <v>216</v>
      </c>
    </row>
    <row r="3" spans="1:6" ht="48" customHeight="1" x14ac:dyDescent="0.25">
      <c r="A3" s="104">
        <v>43304</v>
      </c>
      <c r="B3" s="52" t="s">
        <v>217</v>
      </c>
      <c r="C3" s="105"/>
      <c r="D3" s="105" t="s">
        <v>218</v>
      </c>
      <c r="E3" s="52" t="s">
        <v>219</v>
      </c>
      <c r="F3" s="105" t="s">
        <v>220</v>
      </c>
    </row>
    <row r="4" spans="1:6" ht="49.5" customHeight="1" x14ac:dyDescent="0.25">
      <c r="A4" s="53"/>
      <c r="B4" s="52"/>
      <c r="C4" s="106"/>
      <c r="D4" s="106"/>
      <c r="E4" s="52"/>
      <c r="F4" s="106"/>
    </row>
    <row r="5" spans="1:6" x14ac:dyDescent="0.25">
      <c r="A5" s="53"/>
      <c r="B5" s="52"/>
      <c r="C5" s="106"/>
      <c r="D5" s="106"/>
      <c r="E5" s="52"/>
      <c r="F5" s="106"/>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19" spans="1:6" x14ac:dyDescent="0.25">
      <c r="A19" s="139" t="s">
        <v>221</v>
      </c>
      <c r="B19" s="139"/>
      <c r="C19" s="139"/>
      <c r="D19" s="139"/>
      <c r="E19" s="139"/>
      <c r="F19" s="139"/>
    </row>
    <row r="20" spans="1:6" x14ac:dyDescent="0.25">
      <c r="A20" s="84" t="s">
        <v>212</v>
      </c>
      <c r="B20" s="84" t="s">
        <v>213</v>
      </c>
      <c r="C20" s="84" t="s">
        <v>222</v>
      </c>
      <c r="D20" s="84" t="s">
        <v>223</v>
      </c>
      <c r="E20" s="84" t="s">
        <v>190</v>
      </c>
      <c r="F20" s="84" t="s">
        <v>216</v>
      </c>
    </row>
    <row r="21" spans="1:6" x14ac:dyDescent="0.25">
      <c r="A21" s="107">
        <v>43508</v>
      </c>
      <c r="B21" s="58" t="s">
        <v>224</v>
      </c>
      <c r="C21" s="108" t="s">
        <v>225</v>
      </c>
      <c r="D21" s="108"/>
      <c r="E21" s="58" t="s">
        <v>226</v>
      </c>
      <c r="F21" s="108" t="s">
        <v>227</v>
      </c>
    </row>
    <row r="22" spans="1:6" x14ac:dyDescent="0.25">
      <c r="A22" s="107">
        <v>43368</v>
      </c>
      <c r="B22" s="58" t="s">
        <v>228</v>
      </c>
      <c r="C22" s="108" t="s">
        <v>229</v>
      </c>
      <c r="D22" s="108"/>
      <c r="E22" s="58" t="s">
        <v>230</v>
      </c>
      <c r="F22" s="108" t="s">
        <v>231</v>
      </c>
    </row>
  </sheetData>
  <mergeCells count="2">
    <mergeCell ref="A1:F1"/>
    <mergeCell ref="A19:F19"/>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232</v>
      </c>
      <c r="B1" s="118"/>
      <c r="C1" s="118"/>
      <c r="D1" s="118"/>
      <c r="E1" s="118"/>
      <c r="F1" s="118"/>
      <c r="G1" s="118"/>
      <c r="H1" s="118"/>
      <c r="I1" s="118"/>
      <c r="J1" s="118"/>
      <c r="K1" s="118"/>
      <c r="L1" s="118"/>
      <c r="M1" s="118"/>
      <c r="N1" s="118"/>
    </row>
    <row r="2" spans="1:18" s="1" customFormat="1" ht="25.5" customHeight="1" x14ac:dyDescent="0.25">
      <c r="A2" s="55" t="s">
        <v>233</v>
      </c>
      <c r="B2" s="55" t="s">
        <v>234</v>
      </c>
      <c r="C2" s="55" t="s">
        <v>235</v>
      </c>
      <c r="D2" s="55" t="s">
        <v>236</v>
      </c>
      <c r="E2" s="55" t="s">
        <v>237</v>
      </c>
      <c r="F2" s="55" t="s">
        <v>238</v>
      </c>
      <c r="G2" s="55" t="s">
        <v>239</v>
      </c>
      <c r="H2" s="55" t="s">
        <v>16</v>
      </c>
      <c r="I2" s="55" t="s">
        <v>240</v>
      </c>
      <c r="J2" s="55" t="s">
        <v>241</v>
      </c>
      <c r="K2" s="55" t="s">
        <v>242</v>
      </c>
      <c r="L2" s="55" t="s">
        <v>243</v>
      </c>
      <c r="M2" s="55" t="s">
        <v>19</v>
      </c>
      <c r="N2" s="55" t="s">
        <v>244</v>
      </c>
      <c r="O2" s="3"/>
      <c r="P2" s="110" t="str">
        <f ca="1">Q2</f>
        <v>2019-04-15</v>
      </c>
      <c r="Q2" s="1" t="str">
        <f ca="1">[1]!td(R2-1)</f>
        <v>2019-04-15</v>
      </c>
      <c r="R2" s="3">
        <f ca="1">TODAY()</f>
        <v>43571</v>
      </c>
    </row>
    <row r="3" spans="1:18" ht="15.75" customHeight="1" x14ac:dyDescent="0.25">
      <c r="A3" s="111" t="str">
        <f>[1]!b_info_name(L3)</f>
        <v>19百业源SCP001</v>
      </c>
      <c r="B3" s="2" t="str">
        <f>[1]!b_issue_firstissue(L3)</f>
        <v>2019-04-17</v>
      </c>
      <c r="C3" s="111">
        <f>[1]!b_info_term(L3)</f>
        <v>0.57530000000000003</v>
      </c>
      <c r="D3" s="112" t="str">
        <f>[1]!issuerrating(L3)</f>
        <v>AA+</v>
      </c>
      <c r="E3" s="112" t="str">
        <f>[1]!b_info_creditrating(L3)</f>
        <v>-</v>
      </c>
      <c r="F3" s="111">
        <f>[1]!b_rate_creditratingagency(L3)</f>
        <v>0</v>
      </c>
      <c r="G3" s="113">
        <f>[1]!b_agency_guarantor(L3)</f>
        <v>0</v>
      </c>
      <c r="H3" s="114" t="s">
        <v>245</v>
      </c>
      <c r="I3" s="66"/>
      <c r="J3" s="115" t="s">
        <v>245</v>
      </c>
      <c r="K3" s="116"/>
      <c r="L3" s="41" t="str">
        <f>公式页!A2</f>
        <v>d19041611.IB</v>
      </c>
      <c r="M3" s="114" t="s">
        <v>245</v>
      </c>
      <c r="N3" s="111">
        <f>[1]!b_agency_leadunderwriter(L3)</f>
        <v>0</v>
      </c>
      <c r="P3" s="109" t="str">
        <f t="shared" ref="P3:P29" ca="1" si="0">$P$2</f>
        <v>2019-04-15</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3.7343999999999999</v>
      </c>
      <c r="K4" s="116">
        <f>K3</f>
        <v>0</v>
      </c>
      <c r="L4" s="4" t="s">
        <v>246</v>
      </c>
      <c r="M4" s="114">
        <f>[1]!b_info_issueamount(L4)/100000000</f>
        <v>5</v>
      </c>
      <c r="N4" s="111" t="str">
        <f>[1]!b_agency_leadunderwriter(L4)</f>
        <v>上海浦东发展银行股份有限公司,中国国际金融股份有限公司</v>
      </c>
      <c r="P4" s="109" t="str">
        <f t="shared" ca="1" si="0"/>
        <v>2019-04-15</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2019-04-15</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2019-04-15</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2019-04-15</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2019-04-15</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2019-04-15</v>
      </c>
    </row>
    <row r="10" spans="1:18" x14ac:dyDescent="0.25">
      <c r="P10" s="109" t="str">
        <f t="shared" ca="1" si="0"/>
        <v>2019-04-15</v>
      </c>
    </row>
    <row r="11" spans="1:18" x14ac:dyDescent="0.25">
      <c r="P11" s="109" t="str">
        <f t="shared" ca="1" si="0"/>
        <v>2019-04-15</v>
      </c>
    </row>
    <row r="12" spans="1:18" x14ac:dyDescent="0.25">
      <c r="A12" s="150" t="s">
        <v>247</v>
      </c>
      <c r="B12" s="118"/>
      <c r="C12" s="118"/>
      <c r="D12" s="118"/>
      <c r="E12" s="118"/>
      <c r="F12" s="118"/>
      <c r="G12" s="118"/>
      <c r="H12" s="118"/>
      <c r="I12" s="118"/>
      <c r="J12" s="118"/>
      <c r="K12" s="118"/>
      <c r="L12" s="118"/>
      <c r="M12" s="118"/>
      <c r="N12" s="118"/>
      <c r="P12" s="109" t="str">
        <f t="shared" ca="1" si="0"/>
        <v>2019-04-15</v>
      </c>
    </row>
    <row r="13" spans="1:18" s="1" customFormat="1" ht="43.2" customHeight="1" x14ac:dyDescent="0.25">
      <c r="A13" s="55" t="s">
        <v>233</v>
      </c>
      <c r="B13" s="55" t="s">
        <v>234</v>
      </c>
      <c r="C13" s="55" t="s">
        <v>235</v>
      </c>
      <c r="D13" s="55" t="s">
        <v>236</v>
      </c>
      <c r="E13" s="55" t="s">
        <v>237</v>
      </c>
      <c r="F13" s="55" t="s">
        <v>238</v>
      </c>
      <c r="G13" s="55" t="s">
        <v>239</v>
      </c>
      <c r="H13" s="55" t="s">
        <v>16</v>
      </c>
      <c r="I13" s="55" t="s">
        <v>240</v>
      </c>
      <c r="J13" s="55" t="s">
        <v>241</v>
      </c>
      <c r="K13" s="55" t="s">
        <v>242</v>
      </c>
      <c r="L13" s="55" t="s">
        <v>243</v>
      </c>
      <c r="M13" s="55" t="s">
        <v>19</v>
      </c>
      <c r="N13" s="55" t="s">
        <v>244</v>
      </c>
      <c r="P13" s="109" t="str">
        <f t="shared" ca="1" si="0"/>
        <v>2019-04-15</v>
      </c>
    </row>
    <row r="14" spans="1:18" ht="15.75" customHeight="1" x14ac:dyDescent="0.25">
      <c r="A14" s="111" t="str">
        <f>[1]!b_info_name(L14)</f>
        <v>19百业源SCP001</v>
      </c>
      <c r="B14" s="2" t="str">
        <f>[1]!b_issue_firstissue(L14)</f>
        <v>2019-04-17</v>
      </c>
      <c r="C14" s="111">
        <f>[1]!b_info_term(L14)</f>
        <v>0.57530000000000003</v>
      </c>
      <c r="D14" s="112" t="str">
        <f>[1]!issuerrating(L14)</f>
        <v>AA+</v>
      </c>
      <c r="E14" s="112" t="str">
        <f>[1]!b_info_creditrating(L14)</f>
        <v>-</v>
      </c>
      <c r="F14" s="111">
        <f>[1]!b_rate_creditratingagency(L14)</f>
        <v>0</v>
      </c>
      <c r="G14" s="113">
        <f>[1]!b_agency_guarantor(L14)</f>
        <v>0</v>
      </c>
      <c r="H14" s="114" t="s">
        <v>245</v>
      </c>
      <c r="I14" s="66"/>
      <c r="J14" s="115" t="s">
        <v>245</v>
      </c>
      <c r="K14" s="116">
        <f>K3</f>
        <v>0</v>
      </c>
      <c r="L14" s="42" t="str">
        <f>L3</f>
        <v>d19041611.IB</v>
      </c>
      <c r="M14" s="114" t="s">
        <v>245</v>
      </c>
      <c r="N14" s="111">
        <f>[1]!b_agency_leadunderwriter(L14)</f>
        <v>0</v>
      </c>
      <c r="P14" s="109" t="str">
        <f t="shared" ca="1" si="0"/>
        <v>2019-04-15</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248</v>
      </c>
      <c r="M15" s="114">
        <f>[1]!b_info_issueamount(L15)/100000000</f>
        <v>5</v>
      </c>
      <c r="N15" s="111" t="str">
        <f>[1]!b_agency_leadunderwriter(L15)</f>
        <v>招商银行股份有限公司</v>
      </c>
      <c r="O15" t="str">
        <f>[1]!b_issuer_windindustry(L15,4)</f>
        <v>西药</v>
      </c>
      <c r="P15" s="109" t="str">
        <f t="shared" ca="1" si="0"/>
        <v>2019-04-15</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249</v>
      </c>
      <c r="M16" s="114">
        <f>[1]!b_info_issueamount(L16)/100000000</f>
        <v>6</v>
      </c>
      <c r="N16" s="111" t="str">
        <f>[1]!b_agency_leadunderwriter(L16)</f>
        <v>北京银行股份有限公司</v>
      </c>
      <c r="O16" t="str">
        <f>[1]!b_issuer_windindustry(L16,4)</f>
        <v>化肥与农用化工</v>
      </c>
      <c r="P16" s="109" t="str">
        <f t="shared" ca="1" si="0"/>
        <v>2019-04-15</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250</v>
      </c>
      <c r="M17" s="114">
        <f>[1]!b_info_issueamount(L17)/100000000</f>
        <v>3.5</v>
      </c>
      <c r="N17" s="111" t="str">
        <f>[1]!b_agency_leadunderwriter(L17)</f>
        <v>华夏银行股份有限公司</v>
      </c>
      <c r="O17" t="str">
        <f>[1]!b_issuer_windindustry(L17,4)</f>
        <v>食品加工与肉类</v>
      </c>
      <c r="P17" s="109" t="str">
        <f t="shared" ca="1" si="0"/>
        <v>2019-04-15</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251</v>
      </c>
      <c r="M18" s="114">
        <f>[1]!b_info_issueamount(L18)/100000000</f>
        <v>3</v>
      </c>
      <c r="N18" s="111" t="str">
        <f>[1]!b_agency_leadunderwriter(L18)</f>
        <v>兴业银行股份有限公司</v>
      </c>
      <c r="O18" t="str">
        <f>[1]!b_issuer_windindustry(L18,4)</f>
        <v>工业机械</v>
      </c>
      <c r="P18" s="109" t="str">
        <f t="shared" ca="1" si="0"/>
        <v>2019-04-15</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252</v>
      </c>
      <c r="M19" s="114">
        <f>[1]!b_info_issueamount(L19)/100000000</f>
        <v>3</v>
      </c>
      <c r="N19" s="111" t="str">
        <f>[1]!b_agency_leadunderwriter(L19)</f>
        <v>中国银行股份有限公司</v>
      </c>
      <c r="O19" t="str">
        <f>[1]!b_issuer_windindustry(L19,4)</f>
        <v>半导体产品</v>
      </c>
      <c r="P19" s="109" t="str">
        <f t="shared" ca="1" si="0"/>
        <v>2019-04-15</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253</v>
      </c>
      <c r="M20" s="114">
        <f>[1]!b_info_issueamount(L20)/100000000</f>
        <v>5</v>
      </c>
      <c r="N20" s="111" t="str">
        <f>[1]!b_agency_leadunderwriter(L20)</f>
        <v>中国银行股份有限公司</v>
      </c>
      <c r="O20" t="str">
        <f>[1]!b_issuer_windindustry(L20,4)</f>
        <v>医疗保健用品</v>
      </c>
      <c r="P20" s="109" t="str">
        <f t="shared" ca="1" si="0"/>
        <v>2019-04-15</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254</v>
      </c>
      <c r="M21" s="114">
        <f>[1]!b_info_issueamount(L21)/100000000</f>
        <v>2</v>
      </c>
      <c r="N21" s="111" t="str">
        <f>[1]!b_agency_leadunderwriter(L21)</f>
        <v>中国银行股份有限公司</v>
      </c>
      <c r="O21" t="str">
        <f>[1]!b_issuer_windindustry(L21,4)</f>
        <v>食品加工与肉类</v>
      </c>
      <c r="P21" s="109" t="str">
        <f t="shared" ca="1" si="0"/>
        <v>2019-04-15</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255</v>
      </c>
      <c r="M22" s="114">
        <f>[1]!b_info_issueamount(L22)/100000000</f>
        <v>4</v>
      </c>
      <c r="N22" s="111" t="str">
        <f>[1]!b_agency_leadunderwriter(L22)</f>
        <v>中国工商银行股份有限公司</v>
      </c>
      <c r="O22" t="str">
        <f>[1]!b_issuer_windindustry(L22,4)</f>
        <v>酒店、度假村与豪华游轮</v>
      </c>
      <c r="P22" s="109" t="str">
        <f t="shared" ca="1" si="0"/>
        <v>2019-04-15</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256</v>
      </c>
      <c r="M23" s="114">
        <f>[1]!b_info_issueamount(L23)/100000000</f>
        <v>4</v>
      </c>
      <c r="N23" s="111" t="str">
        <f>[1]!b_agency_leadunderwriter(L23)</f>
        <v>中国银行股份有限公司</v>
      </c>
      <c r="O23" t="str">
        <f>[1]!b_issuer_windindustry(L23,4)</f>
        <v>金属非金属</v>
      </c>
      <c r="P23" s="109" t="str">
        <f t="shared" ca="1" si="0"/>
        <v>2019-04-15</v>
      </c>
    </row>
    <row r="24" spans="1:16" x14ac:dyDescent="0.25">
      <c r="P24" s="109" t="str">
        <f t="shared" ca="1" si="0"/>
        <v>2019-04-15</v>
      </c>
    </row>
    <row r="25" spans="1:16" x14ac:dyDescent="0.25">
      <c r="P25" s="109" t="str">
        <f t="shared" ca="1" si="0"/>
        <v>2019-04-15</v>
      </c>
    </row>
    <row r="26" spans="1:16" x14ac:dyDescent="0.25">
      <c r="P26" s="109" t="str">
        <f t="shared" ca="1" si="0"/>
        <v>2019-04-15</v>
      </c>
    </row>
    <row r="27" spans="1:16" x14ac:dyDescent="0.25">
      <c r="P27" s="109" t="str">
        <f t="shared" ca="1" si="0"/>
        <v>2019-04-15</v>
      </c>
    </row>
    <row r="28" spans="1:16" x14ac:dyDescent="0.25">
      <c r="P28" s="109" t="str">
        <f t="shared" ca="1" si="0"/>
        <v>2019-04-15</v>
      </c>
    </row>
    <row r="29" spans="1:16" x14ac:dyDescent="0.25">
      <c r="P29" s="109" t="str">
        <f t="shared" ca="1" si="0"/>
        <v>2019-04-15</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2019-04-16T08:12:02Z</dcterms:modified>
</cp:coreProperties>
</file>