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7新券信评\"/>
    </mc:Choice>
  </mc:AlternateContent>
  <xr:revisionPtr revIDLastSave="0" documentId="13_ncr:1_{765746B7-B6A5-414A-A752-BC1E73921636}" xr6:coauthVersionLast="43" xr6:coauthVersionMax="43" xr10:uidLastSave="{00000000-0000-0000-0000-000000000000}"/>
  <bookViews>
    <workbookView xWindow="-108" yWindow="-108" windowWidth="23256" windowHeight="12576" activeTab="1"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G23" i="6" l="1"/>
  <c r="D22" i="6"/>
  <c r="F20" i="6"/>
  <c r="C19" i="6"/>
  <c r="E17" i="6"/>
  <c r="B16" i="6"/>
  <c r="N14" i="6"/>
  <c r="G9" i="6"/>
  <c r="D8" i="6"/>
  <c r="B6" i="6"/>
  <c r="N4" i="6"/>
  <c r="B3" i="6"/>
  <c r="N22" i="6"/>
  <c r="H21" i="6"/>
  <c r="M19" i="6"/>
  <c r="G18" i="6"/>
  <c r="D17" i="6"/>
  <c r="F15" i="6"/>
  <c r="F9" i="6"/>
  <c r="C8" i="6"/>
  <c r="E6" i="6"/>
  <c r="M4" i="6"/>
  <c r="E3" i="6"/>
  <c r="N21" i="6"/>
  <c r="M18" i="6"/>
  <c r="D16" i="6"/>
  <c r="E8" i="6"/>
  <c r="E4" i="6"/>
  <c r="S137" i="1"/>
  <c r="S131" i="1"/>
  <c r="M121" i="1"/>
  <c r="M117" i="1"/>
  <c r="F110" i="1"/>
  <c r="F102" i="1"/>
  <c r="D101" i="1"/>
  <c r="M21" i="6"/>
  <c r="D19" i="6"/>
  <c r="C16" i="6"/>
  <c r="E9" i="6"/>
  <c r="G6" i="6"/>
  <c r="D3" i="6"/>
  <c r="O135" i="1"/>
  <c r="S130" i="1"/>
  <c r="F113" i="1"/>
  <c r="P103" i="1"/>
  <c r="N101" i="1"/>
  <c r="G21" i="6"/>
  <c r="H16" i="6"/>
  <c r="F7" i="6"/>
  <c r="Q2" i="6"/>
  <c r="M130" i="1"/>
  <c r="J103" i="1"/>
  <c r="L100" i="1"/>
  <c r="G99" i="1"/>
  <c r="E98" i="1"/>
  <c r="C97" i="1"/>
  <c r="G95" i="1"/>
  <c r="C93" i="1"/>
  <c r="E90" i="1"/>
  <c r="G87" i="1"/>
  <c r="C85" i="1"/>
  <c r="E82" i="1"/>
  <c r="G79" i="1"/>
  <c r="C77" i="1"/>
  <c r="E74" i="1"/>
  <c r="G71" i="1"/>
  <c r="C69" i="1"/>
  <c r="E66" i="1"/>
  <c r="G63" i="1"/>
  <c r="C61" i="1"/>
  <c r="E58" i="1"/>
  <c r="G55" i="1"/>
  <c r="C53" i="1"/>
  <c r="E50" i="1"/>
  <c r="G47" i="1"/>
  <c r="C45" i="1"/>
  <c r="E42" i="1"/>
  <c r="G39" i="1"/>
  <c r="C37" i="1"/>
  <c r="E34" i="1"/>
  <c r="G31" i="1"/>
  <c r="N29" i="1"/>
  <c r="L28" i="1"/>
  <c r="G27" i="1"/>
  <c r="E26" i="1"/>
  <c r="C25" i="1"/>
  <c r="R23" i="1"/>
  <c r="E22" i="1"/>
  <c r="C21" i="1"/>
  <c r="R19" i="1"/>
  <c r="E18" i="1"/>
  <c r="C17" i="1"/>
  <c r="J15" i="1"/>
  <c r="B10" i="1"/>
  <c r="C17" i="6"/>
  <c r="F21" i="6"/>
  <c r="D15" i="6"/>
  <c r="C6" i="6"/>
  <c r="S136" i="1"/>
  <c r="M110" i="1"/>
  <c r="P101" i="1"/>
  <c r="D100" i="1"/>
  <c r="B99" i="1"/>
  <c r="Q97" i="1"/>
  <c r="O96" i="1"/>
  <c r="B95" i="1"/>
  <c r="D92" i="1"/>
  <c r="F89" i="1"/>
  <c r="B87" i="1"/>
  <c r="D84" i="1"/>
  <c r="F81" i="1"/>
  <c r="B79" i="1"/>
  <c r="D76" i="1"/>
  <c r="F73" i="1"/>
  <c r="B71" i="1"/>
  <c r="D68" i="1"/>
  <c r="F65" i="1"/>
  <c r="B63" i="1"/>
  <c r="D60" i="1"/>
  <c r="F57" i="1"/>
  <c r="B55" i="1"/>
  <c r="D52" i="1"/>
  <c r="F49" i="1"/>
  <c r="B47" i="1"/>
  <c r="D44" i="1"/>
  <c r="F41" i="1"/>
  <c r="B39" i="1"/>
  <c r="C23" i="6"/>
  <c r="E21" i="6"/>
  <c r="B20" i="6"/>
  <c r="O18" i="6"/>
  <c r="A17" i="6"/>
  <c r="N15" i="6"/>
  <c r="F14" i="6"/>
  <c r="C9" i="6"/>
  <c r="E7" i="6"/>
  <c r="M5" i="6"/>
  <c r="H4" i="6"/>
  <c r="M23" i="6"/>
  <c r="G22" i="6"/>
  <c r="D21" i="6"/>
  <c r="F19" i="6"/>
  <c r="C18" i="6"/>
  <c r="E16" i="6"/>
  <c r="B15" i="6"/>
  <c r="B9" i="6"/>
  <c r="N7" i="6"/>
  <c r="A6" i="6"/>
  <c r="G4" i="6"/>
  <c r="A3" i="6"/>
  <c r="C21" i="6"/>
  <c r="B18" i="6"/>
  <c r="A15" i="6"/>
  <c r="B7" i="6"/>
  <c r="G3" i="6"/>
  <c r="S135" i="1"/>
  <c r="M129" i="1"/>
  <c r="M120" i="1"/>
  <c r="M116" i="1"/>
  <c r="M109" i="1"/>
  <c r="B102" i="1"/>
  <c r="Q100" i="1"/>
  <c r="B21" i="6"/>
  <c r="A18" i="6"/>
  <c r="H15" i="6"/>
  <c r="B8" i="6"/>
  <c r="N5" i="6"/>
  <c r="M141" i="1"/>
  <c r="M134" i="1"/>
  <c r="M128" i="1"/>
  <c r="D112" i="1"/>
  <c r="L103" i="1"/>
  <c r="G101" i="1"/>
  <c r="D20" i="6"/>
  <c r="E15" i="6"/>
  <c r="D6" i="6"/>
  <c r="M138" i="1"/>
  <c r="S128" i="1"/>
  <c r="Q101" i="1"/>
  <c r="E100" i="1"/>
  <c r="C99" i="1"/>
  <c r="R97" i="1"/>
  <c r="P96" i="1"/>
  <c r="C95" i="1"/>
  <c r="E92" i="1"/>
  <c r="G89" i="1"/>
  <c r="C87" i="1"/>
  <c r="E84" i="1"/>
  <c r="G81" i="1"/>
  <c r="C79" i="1"/>
  <c r="E76" i="1"/>
  <c r="G73" i="1"/>
  <c r="C71" i="1"/>
  <c r="E68" i="1"/>
  <c r="G65" i="1"/>
  <c r="C63" i="1"/>
  <c r="E60" i="1"/>
  <c r="G57" i="1"/>
  <c r="C55" i="1"/>
  <c r="E52" i="1"/>
  <c r="G49" i="1"/>
  <c r="C47" i="1"/>
  <c r="E44" i="1"/>
  <c r="G41" i="1"/>
  <c r="C39" i="1"/>
  <c r="E36" i="1"/>
  <c r="G33" i="1"/>
  <c r="C31" i="1"/>
  <c r="G29" i="1"/>
  <c r="E28" i="1"/>
  <c r="C27" i="1"/>
  <c r="R25" i="1"/>
  <c r="P24" i="1"/>
  <c r="N23" i="1"/>
  <c r="R21" i="1"/>
  <c r="P20" i="1"/>
  <c r="N19" i="1"/>
  <c r="R17" i="1"/>
  <c r="F16" i="1"/>
  <c r="D15" i="1"/>
  <c r="B8" i="1"/>
  <c r="M7" i="6"/>
  <c r="C20" i="6"/>
  <c r="A9" i="6"/>
  <c r="A5" i="6"/>
  <c r="S133" i="1"/>
  <c r="F109" i="1"/>
  <c r="E101" i="1"/>
  <c r="Q99" i="1"/>
  <c r="O98" i="1"/>
  <c r="M97" i="1"/>
  <c r="J96" i="1"/>
  <c r="D94" i="1"/>
  <c r="F91" i="1"/>
  <c r="B89" i="1"/>
  <c r="D86" i="1"/>
  <c r="F83" i="1"/>
  <c r="B81" i="1"/>
  <c r="D78" i="1"/>
  <c r="F75" i="1"/>
  <c r="B73" i="1"/>
  <c r="D70" i="1"/>
  <c r="F67" i="1"/>
  <c r="B65" i="1"/>
  <c r="D62" i="1"/>
  <c r="F59" i="1"/>
  <c r="B57" i="1"/>
  <c r="D54" i="1"/>
  <c r="F51" i="1"/>
  <c r="B49" i="1"/>
  <c r="D46" i="1"/>
  <c r="F43" i="1"/>
  <c r="B41" i="1"/>
  <c r="D38" i="1"/>
  <c r="O22" i="6"/>
  <c r="A21" i="6"/>
  <c r="N19" i="6"/>
  <c r="H18" i="6"/>
  <c r="M16" i="6"/>
  <c r="G15" i="6"/>
  <c r="B14" i="6"/>
  <c r="N8" i="6"/>
  <c r="A7" i="6"/>
  <c r="G5" i="6"/>
  <c r="D4" i="6"/>
  <c r="F23" i="6"/>
  <c r="C22" i="6"/>
  <c r="E20" i="6"/>
  <c r="B19" i="6"/>
  <c r="O17" i="6"/>
  <c r="A16" i="6"/>
  <c r="E14" i="6"/>
  <c r="M8" i="6"/>
  <c r="H7" i="6"/>
  <c r="F5" i="6"/>
  <c r="C4" i="6"/>
  <c r="A23" i="6"/>
  <c r="H20" i="6"/>
  <c r="G17" i="6"/>
  <c r="D14" i="6"/>
  <c r="H6" i="6"/>
  <c r="S141" i="1"/>
  <c r="O134" i="1"/>
  <c r="O128" i="1"/>
  <c r="M119" i="1"/>
  <c r="F112" i="1"/>
  <c r="Q103" i="1"/>
  <c r="O101" i="1"/>
  <c r="H23" i="6"/>
  <c r="G20" i="6"/>
  <c r="F17" i="6"/>
  <c r="C14" i="6"/>
  <c r="G7" i="6"/>
  <c r="E5" i="6"/>
  <c r="M139" i="1"/>
  <c r="S132" i="1"/>
  <c r="O127" i="1"/>
  <c r="S110" i="1"/>
  <c r="E102" i="1"/>
  <c r="C101" i="1"/>
  <c r="A19" i="6"/>
  <c r="D9" i="6"/>
  <c r="D5" i="6"/>
  <c r="S134" i="1"/>
  <c r="D111" i="1"/>
  <c r="F101" i="1"/>
  <c r="R99" i="1"/>
  <c r="P98" i="1"/>
  <c r="N97" i="1"/>
  <c r="L96" i="1"/>
  <c r="E94" i="1"/>
  <c r="G91" i="1"/>
  <c r="C89" i="1"/>
  <c r="E86" i="1"/>
  <c r="G83" i="1"/>
  <c r="C81" i="1"/>
  <c r="E78" i="1"/>
  <c r="G75" i="1"/>
  <c r="C73" i="1"/>
  <c r="E70" i="1"/>
  <c r="G67" i="1"/>
  <c r="C65" i="1"/>
  <c r="E62" i="1"/>
  <c r="G59" i="1"/>
  <c r="C57" i="1"/>
  <c r="E54" i="1"/>
  <c r="G51" i="1"/>
  <c r="C49" i="1"/>
  <c r="E46" i="1"/>
  <c r="G43" i="1"/>
  <c r="C41" i="1"/>
  <c r="E38" i="1"/>
  <c r="G35" i="1"/>
  <c r="C33" i="1"/>
  <c r="E30" i="1"/>
  <c r="C29" i="1"/>
  <c r="R27" i="1"/>
  <c r="P26" i="1"/>
  <c r="N25" i="1"/>
  <c r="L24" i="1"/>
  <c r="G23" i="1"/>
  <c r="N21" i="1"/>
  <c r="L20" i="1"/>
  <c r="G19" i="1"/>
  <c r="N17" i="1"/>
  <c r="B16" i="1"/>
  <c r="F14" i="1"/>
  <c r="E5" i="1"/>
  <c r="M6" i="6"/>
  <c r="M17" i="6"/>
  <c r="A8" i="6"/>
  <c r="A4" i="6"/>
  <c r="M131" i="1"/>
  <c r="R103" i="1"/>
  <c r="O100" i="1"/>
  <c r="M99" i="1"/>
  <c r="J98" i="1"/>
  <c r="F97" i="1"/>
  <c r="D96" i="1"/>
  <c r="F93" i="1"/>
  <c r="B91" i="1"/>
  <c r="D88" i="1"/>
  <c r="F85" i="1"/>
  <c r="B83" i="1"/>
  <c r="D80" i="1"/>
  <c r="F77" i="1"/>
  <c r="N23" i="6"/>
  <c r="H22" i="6"/>
  <c r="M20" i="6"/>
  <c r="G19" i="6"/>
  <c r="D18" i="6"/>
  <c r="F16" i="6"/>
  <c r="C15" i="6"/>
  <c r="M9" i="6"/>
  <c r="H8" i="6"/>
  <c r="F6" i="6"/>
  <c r="C5" i="6"/>
  <c r="F3" i="6"/>
  <c r="B23" i="6"/>
  <c r="O21" i="6"/>
  <c r="A20" i="6"/>
  <c r="N18" i="6"/>
  <c r="H17" i="6"/>
  <c r="M15" i="6"/>
  <c r="A14" i="6"/>
  <c r="G8" i="6"/>
  <c r="D7" i="6"/>
  <c r="B5" i="6"/>
  <c r="N3" i="6"/>
  <c r="F22" i="6"/>
  <c r="E19" i="6"/>
  <c r="O16" i="6"/>
  <c r="H9" i="6"/>
  <c r="H5" i="6"/>
  <c r="S139" i="1"/>
  <c r="M133" i="1"/>
  <c r="S127" i="1"/>
  <c r="M118" i="1"/>
  <c r="M111" i="1"/>
  <c r="M103" i="1"/>
  <c r="J101" i="1"/>
  <c r="E22" i="6"/>
  <c r="O19" i="6"/>
  <c r="N16" i="6"/>
  <c r="N9" i="6"/>
  <c r="N6" i="6"/>
  <c r="B4" i="6"/>
  <c r="M137" i="1"/>
  <c r="O131" i="1"/>
  <c r="M123" i="1"/>
  <c r="D110" i="1"/>
  <c r="R101" i="1"/>
  <c r="M22" i="6"/>
  <c r="N17" i="6"/>
  <c r="F8" i="6"/>
  <c r="F4" i="6"/>
  <c r="M132" i="1"/>
  <c r="S109" i="1"/>
  <c r="P100" i="1"/>
  <c r="N99" i="1"/>
  <c r="L98" i="1"/>
  <c r="G97" i="1"/>
  <c r="E96" i="1"/>
  <c r="G93" i="1"/>
  <c r="C91" i="1"/>
  <c r="E88" i="1"/>
  <c r="G85" i="1"/>
  <c r="C83" i="1"/>
  <c r="E80" i="1"/>
  <c r="G77" i="1"/>
  <c r="C75" i="1"/>
  <c r="E64" i="1"/>
  <c r="G53" i="1"/>
  <c r="C43" i="1"/>
  <c r="E32" i="1"/>
  <c r="L26" i="1"/>
  <c r="G21" i="1"/>
  <c r="O15" i="1"/>
  <c r="G16" i="6"/>
  <c r="G102" i="1"/>
  <c r="B97" i="1"/>
  <c r="F87" i="1"/>
  <c r="B77" i="1"/>
  <c r="F71" i="1"/>
  <c r="D66" i="1"/>
  <c r="B61" i="1"/>
  <c r="F55" i="1"/>
  <c r="D50" i="1"/>
  <c r="B45" i="1"/>
  <c r="F39" i="1"/>
  <c r="F35" i="1"/>
  <c r="B33" i="1"/>
  <c r="D30" i="1"/>
  <c r="B29" i="1"/>
  <c r="Q27" i="1"/>
  <c r="O26" i="1"/>
  <c r="M25" i="1"/>
  <c r="J24" i="1"/>
  <c r="F23" i="1"/>
  <c r="M21" i="1"/>
  <c r="J20" i="1"/>
  <c r="F19" i="1"/>
  <c r="M17" i="1"/>
  <c r="R15" i="1"/>
  <c r="E14" i="1"/>
  <c r="B5" i="1"/>
  <c r="D23" i="6"/>
  <c r="M135" i="1"/>
  <c r="D102" i="1"/>
  <c r="E99" i="1"/>
  <c r="R96" i="1"/>
  <c r="G92" i="1"/>
  <c r="E87" i="1"/>
  <c r="C82" i="1"/>
  <c r="G76" i="1"/>
  <c r="E71" i="1"/>
  <c r="C66" i="1"/>
  <c r="G60" i="1"/>
  <c r="E55" i="1"/>
  <c r="C50" i="1"/>
  <c r="G44" i="1"/>
  <c r="E39" i="1"/>
  <c r="C34" i="1"/>
  <c r="L29" i="1"/>
  <c r="E27" i="1"/>
  <c r="R24" i="1"/>
  <c r="C22" i="1"/>
  <c r="P19" i="1"/>
  <c r="J16" i="1"/>
  <c r="B9" i="1"/>
  <c r="B46" i="1"/>
  <c r="F36" i="1"/>
  <c r="Q28" i="1"/>
  <c r="F24" i="1"/>
  <c r="O19" i="1"/>
  <c r="F8" i="1"/>
  <c r="P29" i="1"/>
  <c r="N24" i="1"/>
  <c r="D16" i="1"/>
  <c r="H19" i="6"/>
  <c r="J99" i="1"/>
  <c r="D89" i="1"/>
  <c r="B72" i="1"/>
  <c r="D57" i="1"/>
  <c r="B44" i="1"/>
  <c r="D29" i="1"/>
  <c r="F22" i="1"/>
  <c r="B17" i="6"/>
  <c r="C102" i="1"/>
  <c r="D99" i="1"/>
  <c r="Q96" i="1"/>
  <c r="F92" i="1"/>
  <c r="D87" i="1"/>
  <c r="B82" i="1"/>
  <c r="F76" i="1"/>
  <c r="D71" i="1"/>
  <c r="B66" i="1"/>
  <c r="F60" i="1"/>
  <c r="B54" i="1"/>
  <c r="D47" i="1"/>
  <c r="D35" i="1"/>
  <c r="D27" i="1"/>
  <c r="B22" i="1"/>
  <c r="P15" i="1"/>
  <c r="C24" i="1"/>
  <c r="E17" i="1"/>
  <c r="F90" i="1"/>
  <c r="F74" i="1"/>
  <c r="B60" i="1"/>
  <c r="D41" i="1"/>
  <c r="M28" i="1"/>
  <c r="D21" i="1"/>
  <c r="S138" i="1"/>
  <c r="M101" i="1"/>
  <c r="R98" i="1"/>
  <c r="N96" i="1"/>
  <c r="C92" i="1"/>
  <c r="G86" i="1"/>
  <c r="E81" i="1"/>
  <c r="C76" i="1"/>
  <c r="G70" i="1"/>
  <c r="E65" i="1"/>
  <c r="C60" i="1"/>
  <c r="G54" i="1"/>
  <c r="E49" i="1"/>
  <c r="C44" i="1"/>
  <c r="E37" i="1"/>
  <c r="E29" i="1"/>
  <c r="L23" i="1"/>
  <c r="D109" i="1"/>
  <c r="D97" i="1"/>
  <c r="B84" i="1"/>
  <c r="D69" i="1"/>
  <c r="F50" i="1"/>
  <c r="D33" i="1"/>
  <c r="B24" i="1"/>
  <c r="G14" i="1"/>
  <c r="B6" i="1"/>
  <c r="D45" i="1"/>
  <c r="E72" i="1"/>
  <c r="G61" i="1"/>
  <c r="C51" i="1"/>
  <c r="E40" i="1"/>
  <c r="R29" i="1"/>
  <c r="G25" i="1"/>
  <c r="E20" i="1"/>
  <c r="B14" i="1"/>
  <c r="C7" i="6"/>
  <c r="J100" i="1"/>
  <c r="F95" i="1"/>
  <c r="B85" i="1"/>
  <c r="B75" i="1"/>
  <c r="F69" i="1"/>
  <c r="D64" i="1"/>
  <c r="B59" i="1"/>
  <c r="F53" i="1"/>
  <c r="D48" i="1"/>
  <c r="B43" i="1"/>
  <c r="F37" i="1"/>
  <c r="B35" i="1"/>
  <c r="D32" i="1"/>
  <c r="Q29" i="1"/>
  <c r="O28" i="1"/>
  <c r="M27" i="1"/>
  <c r="J26" i="1"/>
  <c r="F25" i="1"/>
  <c r="D24" i="1"/>
  <c r="B23" i="1"/>
  <c r="F21" i="1"/>
  <c r="D20" i="1"/>
  <c r="B19" i="1"/>
  <c r="F17" i="1"/>
  <c r="N15" i="1"/>
  <c r="F11" i="1"/>
  <c r="E23" i="6"/>
  <c r="E18" i="6"/>
  <c r="O130" i="1"/>
  <c r="B101" i="1"/>
  <c r="N98" i="1"/>
  <c r="G96" i="1"/>
  <c r="E91" i="1"/>
  <c r="C86" i="1"/>
  <c r="G80" i="1"/>
  <c r="E75" i="1"/>
  <c r="C70" i="1"/>
  <c r="G64" i="1"/>
  <c r="E59" i="1"/>
  <c r="C54" i="1"/>
  <c r="G48" i="1"/>
  <c r="E43" i="1"/>
  <c r="C38" i="1"/>
  <c r="G32" i="1"/>
  <c r="R28" i="1"/>
  <c r="N26" i="1"/>
  <c r="G24" i="1"/>
  <c r="L21" i="1"/>
  <c r="E19" i="1"/>
  <c r="Q15" i="1"/>
  <c r="E4" i="1"/>
  <c r="F44" i="1"/>
  <c r="B34" i="1"/>
  <c r="O27" i="1"/>
  <c r="D23" i="1"/>
  <c r="B18" i="1"/>
  <c r="C40" i="1"/>
  <c r="C28" i="1"/>
  <c r="P21" i="1"/>
  <c r="B15" i="1"/>
  <c r="M136" i="1"/>
  <c r="F98" i="1"/>
  <c r="D85" i="1"/>
  <c r="B68" i="1"/>
  <c r="D53" i="1"/>
  <c r="B40" i="1"/>
  <c r="B28" i="1"/>
  <c r="M20" i="1"/>
  <c r="M140" i="1"/>
  <c r="R100" i="1"/>
  <c r="M98" i="1"/>
  <c r="F96" i="1"/>
  <c r="D91" i="1"/>
  <c r="B86" i="1"/>
  <c r="F80" i="1"/>
  <c r="D75" i="1"/>
  <c r="B70" i="1"/>
  <c r="F64" i="1"/>
  <c r="D59" i="1"/>
  <c r="F52" i="1"/>
  <c r="D43" i="1"/>
  <c r="D31" i="1"/>
  <c r="B26" i="1"/>
  <c r="Q20" i="1"/>
  <c r="C14" i="1"/>
  <c r="G22" i="1"/>
  <c r="M100" i="1"/>
  <c r="F86" i="1"/>
  <c r="F70" i="1"/>
  <c r="B56" i="1"/>
  <c r="F38" i="1"/>
  <c r="Q26" i="1"/>
  <c r="J19" i="1"/>
  <c r="O132" i="1"/>
  <c r="N100" i="1"/>
  <c r="G98" i="1"/>
  <c r="C96" i="1"/>
  <c r="G90" i="1"/>
  <c r="E85" i="1"/>
  <c r="C80" i="1"/>
  <c r="G74" i="1"/>
  <c r="E69" i="1"/>
  <c r="C64" i="1"/>
  <c r="G58" i="1"/>
  <c r="E53" i="1"/>
  <c r="C48" i="1"/>
  <c r="G42" i="1"/>
  <c r="C36" i="1"/>
  <c r="L27" i="1"/>
  <c r="E21" i="1"/>
  <c r="N103" i="1"/>
  <c r="F94" i="1"/>
  <c r="D81" i="1"/>
  <c r="B64" i="1"/>
  <c r="G69" i="1"/>
  <c r="C59" i="1"/>
  <c r="E48" i="1"/>
  <c r="G37" i="1"/>
  <c r="P28" i="1"/>
  <c r="E24" i="1"/>
  <c r="C19" i="1"/>
  <c r="B22" i="6"/>
  <c r="S140" i="1"/>
  <c r="F99" i="1"/>
  <c r="B93" i="1"/>
  <c r="D82" i="1"/>
  <c r="D74" i="1"/>
  <c r="B69" i="1"/>
  <c r="F63" i="1"/>
  <c r="D58" i="1"/>
  <c r="B53" i="1"/>
  <c r="F47" i="1"/>
  <c r="D42" i="1"/>
  <c r="B37" i="1"/>
  <c r="D34" i="1"/>
  <c r="F31" i="1"/>
  <c r="M29" i="1"/>
  <c r="J28" i="1"/>
  <c r="F27" i="1"/>
  <c r="D26" i="1"/>
  <c r="B25" i="1"/>
  <c r="Q23" i="1"/>
  <c r="D22" i="1"/>
  <c r="B21" i="1"/>
  <c r="Q19" i="1"/>
  <c r="D18" i="1"/>
  <c r="B17" i="1"/>
  <c r="G15" i="1"/>
  <c r="F9" i="1"/>
  <c r="O20" i="6"/>
  <c r="G14" i="6"/>
  <c r="M127" i="1"/>
  <c r="G100" i="1"/>
  <c r="C98" i="1"/>
  <c r="E95" i="1"/>
  <c r="C90" i="1"/>
  <c r="G84" i="1"/>
  <c r="E79" i="1"/>
  <c r="C74" i="1"/>
  <c r="G68" i="1"/>
  <c r="E63" i="1"/>
  <c r="C58" i="1"/>
  <c r="G52" i="1"/>
  <c r="E47" i="1"/>
  <c r="C42" i="1"/>
  <c r="G36" i="1"/>
  <c r="E31" i="1"/>
  <c r="G28" i="1"/>
  <c r="C26" i="1"/>
  <c r="P23" i="1"/>
  <c r="R20" i="1"/>
  <c r="C18" i="1"/>
  <c r="F15" i="1"/>
  <c r="B58" i="1"/>
  <c r="B42" i="1"/>
  <c r="F32" i="1"/>
  <c r="M26" i="1"/>
  <c r="J21" i="1"/>
  <c r="G16" i="1"/>
  <c r="G34" i="1"/>
  <c r="R26" i="1"/>
  <c r="N20" i="1"/>
  <c r="B11" i="1"/>
  <c r="S111" i="1"/>
  <c r="M96" i="1"/>
  <c r="B80" i="1"/>
  <c r="D65" i="1"/>
  <c r="D49" i="1"/>
  <c r="B36" i="1"/>
  <c r="F26" i="1"/>
  <c r="F18" i="1"/>
  <c r="O133" i="1"/>
  <c r="F100" i="1"/>
  <c r="B98" i="1"/>
  <c r="D95" i="1"/>
  <c r="B90" i="1"/>
  <c r="F84" i="1"/>
  <c r="D79" i="1"/>
  <c r="B74" i="1"/>
  <c r="F68" i="1"/>
  <c r="D63" i="1"/>
  <c r="F56" i="1"/>
  <c r="D51" i="1"/>
  <c r="F40" i="1"/>
  <c r="J29" i="1"/>
  <c r="Q24" i="1"/>
  <c r="D19" i="1"/>
  <c r="B4" i="1"/>
  <c r="C20" i="1"/>
  <c r="O97" i="1"/>
  <c r="F82" i="1"/>
  <c r="F66" i="1"/>
  <c r="B52" i="1"/>
  <c r="F34" i="1"/>
  <c r="D25" i="1"/>
  <c r="N20" i="6"/>
  <c r="S112" i="1"/>
  <c r="C100" i="1"/>
  <c r="P97" i="1"/>
  <c r="G94" i="1"/>
  <c r="E89" i="1"/>
  <c r="C84" i="1"/>
  <c r="G78" i="1"/>
  <c r="E73" i="1"/>
  <c r="C68" i="1"/>
  <c r="G62" i="1"/>
  <c r="E57" i="1"/>
  <c r="C52" i="1"/>
  <c r="G46" i="1"/>
  <c r="E41" i="1"/>
  <c r="E33" i="1"/>
  <c r="G26" i="1"/>
  <c r="L19" i="1"/>
  <c r="B100" i="1"/>
  <c r="B92" i="1"/>
  <c r="D77" i="1"/>
  <c r="F58" i="1"/>
  <c r="C67" i="1"/>
  <c r="E56" i="1"/>
  <c r="G45" i="1"/>
  <c r="C35" i="1"/>
  <c r="N27" i="1"/>
  <c r="C23" i="1"/>
  <c r="G17" i="1"/>
  <c r="O23" i="6"/>
  <c r="S129" i="1"/>
  <c r="D98" i="1"/>
  <c r="D90" i="1"/>
  <c r="F79" i="1"/>
  <c r="D72" i="1"/>
  <c r="B67" i="1"/>
  <c r="F61" i="1"/>
  <c r="D56" i="1"/>
  <c r="B51" i="1"/>
  <c r="F45" i="1"/>
  <c r="D40" i="1"/>
  <c r="D36" i="1"/>
  <c r="F33" i="1"/>
  <c r="B31" i="1"/>
  <c r="F29" i="1"/>
  <c r="D28" i="1"/>
  <c r="B27" i="1"/>
  <c r="Q25" i="1"/>
  <c r="O24" i="1"/>
  <c r="M23" i="1"/>
  <c r="Q21" i="1"/>
  <c r="O20" i="1"/>
  <c r="M19" i="1"/>
  <c r="Q17" i="1"/>
  <c r="E16" i="1"/>
  <c r="C15" i="1"/>
  <c r="F7" i="1"/>
  <c r="F18" i="6"/>
  <c r="C3" i="6"/>
  <c r="F111" i="1"/>
  <c r="P99" i="1"/>
  <c r="L97" i="1"/>
  <c r="C94" i="1"/>
  <c r="G88" i="1"/>
  <c r="E83" i="1"/>
  <c r="C78" i="1"/>
  <c r="G72" i="1"/>
  <c r="E67" i="1"/>
  <c r="C62" i="1"/>
  <c r="G56" i="1"/>
  <c r="E51" i="1"/>
  <c r="C46" i="1"/>
  <c r="G40" i="1"/>
  <c r="E35" i="1"/>
  <c r="C30" i="1"/>
  <c r="P27" i="1"/>
  <c r="L25" i="1"/>
  <c r="E23" i="1"/>
  <c r="G20" i="1"/>
  <c r="L17" i="1"/>
  <c r="D14" i="1"/>
  <c r="B50" i="1"/>
  <c r="D39" i="1"/>
  <c r="B30" i="1"/>
  <c r="J25" i="1"/>
  <c r="F20" i="1"/>
  <c r="E15" i="1"/>
  <c r="C32" i="1"/>
  <c r="P25" i="1"/>
  <c r="G18" i="1"/>
  <c r="B7" i="1"/>
  <c r="L101" i="1"/>
  <c r="D93" i="1"/>
  <c r="B76" i="1"/>
  <c r="D61" i="1"/>
  <c r="B48" i="1"/>
  <c r="B32" i="1"/>
  <c r="M24" i="1"/>
  <c r="A22" i="6"/>
  <c r="O129" i="1"/>
  <c r="O99" i="1"/>
  <c r="J97" i="1"/>
  <c r="B94" i="1"/>
  <c r="F88" i="1"/>
  <c r="D83" i="1"/>
  <c r="B78" i="1"/>
  <c r="F72" i="1"/>
  <c r="D67" i="1"/>
  <c r="B62" i="1"/>
  <c r="D55" i="1"/>
  <c r="F48" i="1"/>
  <c r="B38" i="1"/>
  <c r="F28" i="1"/>
  <c r="O23" i="1"/>
  <c r="J17" i="1"/>
  <c r="N28" i="1"/>
  <c r="P17" i="1"/>
  <c r="B96" i="1"/>
  <c r="F78" i="1"/>
  <c r="F62" i="1"/>
  <c r="F46" i="1"/>
  <c r="F30" i="1"/>
  <c r="J23" i="1"/>
  <c r="O15" i="6"/>
  <c r="O103" i="1"/>
  <c r="L99" i="1"/>
  <c r="E97" i="1"/>
  <c r="E93" i="1"/>
  <c r="C88" i="1"/>
  <c r="G82" i="1"/>
  <c r="E77" i="1"/>
  <c r="C72" i="1"/>
  <c r="G66" i="1"/>
  <c r="E61" i="1"/>
  <c r="C56" i="1"/>
  <c r="G50" i="1"/>
  <c r="E45" i="1"/>
  <c r="G38" i="1"/>
  <c r="G30" i="1"/>
  <c r="E25" i="1"/>
  <c r="M15" i="1"/>
  <c r="Q98" i="1"/>
  <c r="B88" i="1"/>
  <c r="D73" i="1"/>
  <c r="F54" i="1"/>
  <c r="D37" i="1"/>
  <c r="O25" i="1"/>
  <c r="O17" i="1"/>
  <c r="C16" i="1"/>
  <c r="F42" i="1"/>
  <c r="B20" i="1"/>
  <c r="O29" i="1"/>
  <c r="F10" i="1"/>
  <c r="L15" i="1"/>
  <c r="D17" i="1"/>
  <c r="J27" i="1"/>
  <c r="O21" i="1"/>
  <c r="D119" i="1" l="1"/>
  <c r="H119" i="1"/>
  <c r="H112" i="1"/>
  <c r="D123" i="1"/>
  <c r="M22" i="1"/>
  <c r="H111" i="1"/>
  <c r="B117" i="1"/>
  <c r="H130" i="1"/>
  <c r="D122" i="1"/>
  <c r="B130" i="1"/>
  <c r="B126" i="1"/>
  <c r="D120" i="1"/>
  <c r="N22" i="1"/>
  <c r="H128" i="1"/>
  <c r="Q22" i="1"/>
  <c r="R22" i="1"/>
  <c r="B125" i="1"/>
  <c r="H109" i="1"/>
  <c r="B122" i="1"/>
  <c r="D121" i="1"/>
  <c r="B127" i="1"/>
  <c r="B111" i="1"/>
  <c r="H117" i="1"/>
  <c r="B123" i="1"/>
  <c r="H129" i="1"/>
  <c r="B121" i="1"/>
  <c r="L22" i="1"/>
  <c r="H124" i="1"/>
  <c r="H110" i="1"/>
  <c r="D117" i="1"/>
  <c r="H122" i="1"/>
  <c r="B129" i="1"/>
  <c r="D118" i="1"/>
  <c r="D124" i="1"/>
  <c r="H131" i="1"/>
  <c r="J22" i="1"/>
  <c r="H123" i="1"/>
  <c r="P22" i="1"/>
  <c r="H118" i="1"/>
  <c r="B128" i="1"/>
  <c r="B118" i="1"/>
  <c r="B124" i="1"/>
  <c r="B131" i="1"/>
  <c r="B109" i="1"/>
  <c r="B112" i="1"/>
  <c r="B119" i="1"/>
  <c r="H125" i="1"/>
  <c r="O22" i="1"/>
  <c r="B110" i="1"/>
  <c r="H126" i="1"/>
  <c r="B120" i="1"/>
  <c r="P2" i="6"/>
  <c r="H120" i="1"/>
  <c r="D125" i="1"/>
  <c r="H121" i="1"/>
  <c r="H127" i="1"/>
  <c r="J4" i="6"/>
  <c r="P29" i="6" l="1"/>
  <c r="P11" i="6"/>
  <c r="P24" i="6"/>
  <c r="P6" i="6"/>
  <c r="P8" i="6"/>
  <c r="P22" i="6"/>
  <c r="P18" i="6"/>
  <c r="P25" i="6"/>
  <c r="P7" i="6"/>
  <c r="P20" i="6"/>
  <c r="P27" i="6"/>
  <c r="P5" i="6"/>
  <c r="P14" i="6"/>
  <c r="P12" i="6"/>
  <c r="P21" i="6"/>
  <c r="P3" i="6"/>
  <c r="P16" i="6"/>
  <c r="P19" i="6"/>
  <c r="P4" i="6"/>
  <c r="P23" i="6"/>
  <c r="P15" i="6"/>
  <c r="P17" i="6"/>
  <c r="P28" i="6"/>
  <c r="P10" i="6"/>
  <c r="P9" i="6"/>
  <c r="P26" i="6"/>
  <c r="P13" i="6"/>
  <c r="J9" i="6"/>
  <c r="J16" i="6"/>
  <c r="J18" i="6"/>
  <c r="J17" i="6"/>
  <c r="J22" i="6"/>
  <c r="J21" i="6"/>
  <c r="J19" i="6"/>
  <c r="J7" i="6"/>
  <c r="J20" i="6"/>
  <c r="J23" i="6"/>
  <c r="J6" i="6"/>
  <c r="J15" i="6"/>
  <c r="J8" i="6"/>
  <c r="J5" i="6"/>
</calcChain>
</file>

<file path=xl/sharedStrings.xml><?xml version="1.0" encoding="utf-8"?>
<sst xmlns="http://schemas.openxmlformats.org/spreadsheetml/2006/main" count="623" uniqueCount="310">
  <si>
    <t>q19041205.IB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</si>
  <si>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</si>
  <si>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</si>
  <si>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</si>
  <si>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</si>
  <si>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</si>
  <si>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</si>
  <si>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</si>
  <si>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</si>
  <si>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</si>
  <si>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</si>
  <si>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</si>
  <si>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</si>
  <si>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</si>
  <si>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</si>
  <si>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</si>
  <si>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</si>
  <si>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</si>
  <si>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</si>
  <si>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</si>
  <si>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</si>
  <si>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</si>
  <si>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</si>
  <si>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101664040.IB</t>
  </si>
  <si>
    <t>主体级别</t>
  </si>
  <si>
    <t>AA+</t>
  </si>
  <si>
    <t>041463011.IB</t>
  </si>
  <si>
    <t>*选择性黏贴</t>
  </si>
  <si>
    <t>041676003.IB</t>
  </si>
  <si>
    <t>数据年度</t>
  </si>
  <si>
    <t>2017年</t>
  </si>
  <si>
    <t>101462022.IB</t>
  </si>
  <si>
    <t>总资产</t>
  </si>
  <si>
    <t>122034.SH</t>
  </si>
  <si>
    <t>负债率</t>
  </si>
  <si>
    <t>098019.IB</t>
  </si>
  <si>
    <t>流动比率</t>
  </si>
  <si>
    <t>1380253.IB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</si>
  <si>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</si>
  <si>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</si>
  <si>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</si>
  <si>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</si>
  <si>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</si>
  <si>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</si>
  <si>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</si>
  <si>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</si>
  <si>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</si>
  <si>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</si>
  <si>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</si>
  <si>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</si>
  <si>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</si>
  <si>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</si>
  <si>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</si>
  <si>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</si>
  <si>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</si>
  <si>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</si>
  <si>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</si>
  <si>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</si>
  <si>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</si>
  <si>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</si>
  <si>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</si>
  <si>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</si>
  <si>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</si>
  <si>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</si>
  <si>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</si>
  <si>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</si>
  <si>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</si>
  <si>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</si>
  <si>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</si>
  <si>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</si>
  <si>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</si>
  <si>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</si>
  <si>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</si>
  <si>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</si>
  <si>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</si>
  <si>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</si>
  <si>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</si>
  <si>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</si>
  <si>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</si>
  <si>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</si>
  <si>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</si>
  <si>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</si>
  <si>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</si>
  <si>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</si>
  <si>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</si>
  <si>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</si>
  <si>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</si>
  <si>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</si>
  <si>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</si>
  <si>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</si>
  <si>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</si>
  <si>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</si>
  <si>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</si>
  <si>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</si>
  <si>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</si>
  <si>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</si>
  <si>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</si>
  <si>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</si>
  <si>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</si>
  <si>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</si>
  <si>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</si>
  <si>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</si>
  <si>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</si>
  <si>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</si>
  <si>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</si>
  <si>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</si>
  <si>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</si>
  <si>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</si>
  <si>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</si>
  <si>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</si>
  <si>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</si>
  <si>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</si>
  <si>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</si>
  <si>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</si>
  <si>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</si>
  <si>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</si>
  <si>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</si>
  <si>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</si>
  <si>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</si>
  <si>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</si>
  <si>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</si>
  <si>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155265.SH</t>
  </si>
  <si>
    <t>20190328</t>
  </si>
  <si>
    <t>19阳集02</t>
  </si>
  <si>
    <t>011900530.IB</t>
  </si>
  <si>
    <t>20190306</t>
  </si>
  <si>
    <t>19福建阳光SCP003</t>
  </si>
  <si>
    <t>011900477.IB</t>
  </si>
  <si>
    <t>20190228</t>
  </si>
  <si>
    <t>19福建阳光SCP002</t>
  </si>
  <si>
    <t>011900348.IB</t>
  </si>
  <si>
    <t>20190130</t>
  </si>
  <si>
    <t>19福建阳光SCP001</t>
  </si>
  <si>
    <t>155145.SH</t>
  </si>
  <si>
    <t>20190114</t>
  </si>
  <si>
    <t>19阳集01</t>
  </si>
  <si>
    <t>101801439.IB</t>
  </si>
  <si>
    <t>20181206</t>
  </si>
  <si>
    <t>18福建阳光MTN001</t>
  </si>
  <si>
    <t>143853.SH</t>
  </si>
  <si>
    <t>20181015</t>
  </si>
  <si>
    <t>18阳集02</t>
  </si>
  <si>
    <t>143600.SH</t>
  </si>
  <si>
    <t>20180823</t>
  </si>
  <si>
    <t>18阳集01</t>
  </si>
  <si>
    <t>031800395.IB</t>
  </si>
  <si>
    <t>20180628</t>
  </si>
  <si>
    <t>18福建阳光PPN001</t>
  </si>
  <si>
    <t>031753022.IB</t>
  </si>
  <si>
    <t>20171123</t>
  </si>
  <si>
    <t>17福建阳光PPN001</t>
  </si>
  <si>
    <t>116371.SZ</t>
  </si>
  <si>
    <t>20160902</t>
  </si>
  <si>
    <t>16阳光1</t>
  </si>
  <si>
    <t>116376.SZ</t>
  </si>
  <si>
    <t>16阳光C</t>
  </si>
  <si>
    <t>116374.SZ</t>
  </si>
  <si>
    <t>16阳光4</t>
  </si>
  <si>
    <t>116373.SZ</t>
  </si>
  <si>
    <t>16阳光3</t>
  </si>
  <si>
    <t>116372.SZ</t>
  </si>
  <si>
    <t>16阳光2</t>
  </si>
  <si>
    <t>116375.SZ</t>
  </si>
  <si>
    <t>16阳光5</t>
  </si>
  <si>
    <t>118834.SZ</t>
  </si>
  <si>
    <t>20160826</t>
  </si>
  <si>
    <t>16阳集03</t>
  </si>
  <si>
    <t>118688.SZ</t>
  </si>
  <si>
    <t>20160530</t>
  </si>
  <si>
    <t>16阳集02</t>
  </si>
  <si>
    <t>118609.SZ</t>
  </si>
  <si>
    <t>20160406</t>
  </si>
  <si>
    <t>16阳集01</t>
  </si>
  <si>
    <t>118383.SZ</t>
  </si>
  <si>
    <t>20151019</t>
  </si>
  <si>
    <t>15阳集02</t>
  </si>
  <si>
    <t>118350.SZ</t>
  </si>
  <si>
    <t>20150902</t>
  </si>
  <si>
    <t>15阳集01</t>
  </si>
  <si>
    <t>历史主体评级</t>
  </si>
  <si>
    <t>发布日期</t>
  </si>
  <si>
    <t>主体资信级别</t>
  </si>
  <si>
    <t>评级展望</t>
  </si>
  <si>
    <t>评级机构</t>
  </si>
  <si>
    <t>20190404</t>
  </si>
  <si>
    <t>稳定</t>
  </si>
  <si>
    <t>东方金诚国际信用评估有限公司</t>
  </si>
  <si>
    <t>20190305</t>
  </si>
  <si>
    <t>20181214</t>
  </si>
  <si>
    <t>20181116</t>
  </si>
  <si>
    <t>20180925</t>
  </si>
  <si>
    <t>20180821</t>
  </si>
  <si>
    <t>20180517</t>
  </si>
  <si>
    <t>大公国际资信评估有限公司</t>
  </si>
  <si>
    <t>20170626</t>
  </si>
  <si>
    <t>20160628</t>
  </si>
  <si>
    <t>AA</t>
  </si>
  <si>
    <t>20151216</t>
  </si>
  <si>
    <t>20151104</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</si>
  <si>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</si>
  <si>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</si>
  <si>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</si>
  <si>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</si>
  <si>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</si>
  <si>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</si>
  <si>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</si>
  <si>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</si>
  <si>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</si>
  <si>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</si>
  <si>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中粮地产(集团)股份有限公司</t>
  </si>
  <si>
    <t>AA+稳定上调至AAA稳定</t>
  </si>
  <si>
    <t>中证鹏元资信评估股份有限公司</t>
  </si>
  <si>
    <t>公司发行股份收购大悦城地产并募集配套资金，该重大资产重组为公司主营业务注入优质的商业地产元素，整合完成后，中粮地产成为中粮集团有限公司旗下房地产业务板块的唯一平台。大悦城品牌具有显著的区域及品牌优势，其稳定增长的租金收入将持续为公司提供较大规模的现金流入和收入贡献。</t>
  </si>
  <si>
    <t>中华企业股份有限公司</t>
  </si>
  <si>
    <t>AA稳定上调至AA+稳定</t>
  </si>
  <si>
    <t>中诚信证券评估有限公司</t>
  </si>
  <si>
    <t>公司完成对中星集团订购，并引入华润置地、平安不动产作为战略投资者。这解决了公司与中星集团同业竞争问题，有助于补充公司的项目储备，增强公司布局力度及竞争力，公司的资产和自有资本实力均较重组前大幅提升。同时，公司印记华润置地的产品和管理体系及骨干团队，有助于进一步提升公司市场化房地产开发业务的执行效率，加速公司市场化转型进程，有助于提高公司的综合实力。</t>
  </si>
  <si>
    <t>鲁能集团有限公司</t>
  </si>
  <si>
    <t>中诚信国际信用评级有限责任公司</t>
  </si>
  <si>
    <t>公司坚持区域聚焦，深耕已布局城市，项目主要分布于国内一二线城市，在建未售面积中一二线的面积占比70%，且土地成本合理，为公司未来发展奠定了良好基础。财务刚刚在行业内处于较低水平，且货币资金占总债务比较50%以上。此外，公司股东背景强，融资优势明显，融资成本低，融资渠道畅通。</t>
  </si>
  <si>
    <t>绿地控股集团有限公司</t>
  </si>
  <si>
    <t>Ba1负面上调至Ba1稳定</t>
  </si>
  <si>
    <t>穆迪公司</t>
  </si>
  <si>
    <t>华鑫置业(集团)有限公司</t>
  </si>
  <si>
    <t>AA负面上调至AA稳定</t>
  </si>
  <si>
    <t>上海新世纪资信评估投资服务有限公司</t>
  </si>
  <si>
    <t>2017年以来公司在股东背景、负债规模下降等方面取得了积极变化。</t>
  </si>
  <si>
    <t>光明房地产集团股份有限公司</t>
  </si>
  <si>
    <t>公司财务杠杆处于较高水平但近年来略有降低，债务期限结构持续优化，短期刚性债务有所缩减；公司资金回笼情况良好，货币资金较充裕，EBITDA持续增长，债务偿付能力有所提高。公司可获得光明集团持续的融资担保和委托贷款支持，且支持力度加大，融资成本持续降低。总体来看，公司偿债能力较有保障，整体信用质量有所提升。</t>
  </si>
  <si>
    <t>光大嘉宝股份有限公司公司</t>
  </si>
  <si>
    <t>联合信用评级有限公司</t>
  </si>
  <si>
    <t>2017年4月，公司实际控制人变更为光大集团，股东实力雄厚，未来公司有望从股东方获得较大支持，随着公司不动产资管规模的持续扩大和不动产资管业务投入力度的进一步加大，公司的盈利结构进一步的优化，经营状况有望保持良好。</t>
  </si>
  <si>
    <t xml:space="preserve"> 鲁能集团有限公司</t>
  </si>
  <si>
    <t>公司为国家电网旗下住宅地产开发业务的运营平台，2017年受益于可供出售货值的增长，公司房地产销售业绩快速提升，同时咋结转项目规模显著提升的带动下，盈利规模大幅增加，得益于销售回款及拿地力度的所见，经营性现金流大幅净流入。</t>
  </si>
  <si>
    <t>金科地产集团股份有限公司</t>
  </si>
  <si>
    <t>2017年，凭借在重庆地区很强的区域竞争优势和品牌知名度，公司持续保持在重庆区域的领先地位，并带动整体签约销售金额的快速上升。同时，2017年公司继续加快土地储备的获取力度，土地储备较为充足且全国区域布局得到优化，同时丰富的已售待结算资源亦可对公司经营业绩提供保障。</t>
  </si>
  <si>
    <t>合生创展集团有限公司</t>
  </si>
  <si>
    <t>中粮置业投资有限公司</t>
  </si>
  <si>
    <t>2017年，中粮置业持续得到股东较大力度的支持，同时凭借所持大悦城购物中心显著的区位优势，其出租率处于较高水平，租金收入稳步上升。此外，公司所运作的销售型房地产项目亦具有较强的区位优势及很高的产品品质，其销售及结算收入为发行人现金流及盈利规模提供了有益的补充。近年来，公司财务结构保持稳健，经营获现能力对债务本息的保障力度持续增强。</t>
  </si>
  <si>
    <t>中冶置业集团有限公司</t>
  </si>
  <si>
    <t>旭辉集团股份有限公司</t>
  </si>
  <si>
    <t>2017 年，在房地产行业政策整体延续分类调控、因城施策的背景下，旭辉
集团股份有限公司继续坚持标准化的运营模式，通过较快的项目周转速度，实现快速去化，销售业绩大幅增长，长三角区域及行业领先地位得到巩固。此外，公司自有资本实力增强，流动性持续充足，加之其项目储备区域布局优势明显，能够为其未来业务发展提供有力保障。</t>
  </si>
  <si>
    <t>近一年来同行业发债企业主体评级下调情况</t>
  </si>
  <si>
    <t>主体资信级别下调</t>
  </si>
  <si>
    <t>主体评级展望下调</t>
  </si>
  <si>
    <t>南京建工产业集团有限公司</t>
  </si>
  <si>
    <t>AA-稳定下调至A负面</t>
  </si>
  <si>
    <t>国购投资有限公司</t>
  </si>
  <si>
    <t>B下调至C</t>
  </si>
  <si>
    <t>公司由于账户被查封、现金流短缺以及筹融资渠道受限等原因， 无法按时偿付“ 16 国购01 ”债券利息及回售本金， 己构成实质违约。</t>
  </si>
  <si>
    <t>宁波银亿控股有限公司</t>
  </si>
  <si>
    <t>A+负面下调至B负面</t>
  </si>
  <si>
    <t>银亿股份有限公司</t>
  </si>
  <si>
    <t>BBB下调至C</t>
  </si>
  <si>
    <t>实质性违约</t>
  </si>
  <si>
    <t>北京华业资本控股股份有限公司</t>
  </si>
  <si>
    <t>AA稳定下调至C</t>
  </si>
  <si>
    <t>实质性违约。</t>
  </si>
  <si>
    <t>上海新黄浦置业股份有限公司</t>
  </si>
  <si>
    <t>AA稳定下调至AA负面</t>
  </si>
  <si>
    <t>参股的中泰信托2017年受到监管警示导致长期股权投资价值受到影响，有息负债规模持续增大，面临集中偿付的压力，实际控制权稳定性极弱。</t>
  </si>
  <si>
    <t>中国高科集团股份有限公司</t>
  </si>
  <si>
    <t>AA稳定下调至AA-稳定</t>
  </si>
  <si>
    <t>上海远东资信评估有限公司</t>
  </si>
  <si>
    <t>中弘控股股份有限公司</t>
  </si>
  <si>
    <t>CCC负面下调至C负面</t>
  </si>
  <si>
    <t>2018年3月19日，中弘卓业、王永红与港桥投资签署《战略重组协议》，以期通过重组获得现金流偿还债务。但由于中弘卓业未能与相关债权人就长债安排及该重组事项达成一致，重组先决条件无法实现，目前三方协商一致统一终止该重组事项。中弘股份自身偿债来源匮乏，战略重组事项终止使其短期内无法获得外部资金支持，偿债能力进一步恶化。</t>
  </si>
  <si>
    <t>泰禾集团股份有限公司</t>
  </si>
  <si>
    <t>B1稳定下调至B2稳定</t>
  </si>
  <si>
    <t>预计未来12-18个月泰禾集团去杠杆的速度将慢于预期，而公司到期的境内影子银行贷款及可回售境内债券造成的再融资压力有所增加。</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</si>
  <si>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</si>
  <si>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</si>
  <si>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</si>
  <si>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</si>
  <si>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</si>
  <si>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</si>
  <si>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</si>
  <si>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</si>
  <si>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</si>
  <si>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</si>
  <si>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</si>
  <si>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</si>
  <si>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</si>
  <si>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</si>
  <si>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</si>
  <si>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</si>
  <si>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</si>
  <si>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</si>
  <si>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</si>
  <si>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</si>
  <si>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</si>
  <si>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</si>
  <si>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</si>
  <si>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</si>
  <si>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</si>
  <si>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福建阳光集团有限公司</t>
  </si>
  <si>
    <t>民营企业</t>
  </si>
  <si>
    <t>房地产--房地产Ⅱ--房地产管理和开发--房地产开发</t>
  </si>
  <si>
    <t>福建省福州市马尾区罗星街道登龙路99号</t>
  </si>
  <si>
    <t>公司的房地产业务是由下属控股子公司阳光城集团股份有限公司经营管理。阳光城为深交所上市公司，代码000671，为住建部批准的一级房地产开发企业，承担房地产项目的建设规模不受任何限制，可以在全国范围承揽房地产开发项目。阳光城坚持“精准投资、高效运营、适销产品”的核心竞争战略，着力打造和提升企业的投资、营运及产品能力，精准把控市场节点，实现资金的快速周转和产品的高溢价。截至2014年末，阳光城集团已进入福建、上海、太原、陕西、甘肃、山西、江苏、浙江等省市发展，土地总储备逾700万平米，全国储备货值近1000亿。同时，凭借快速提升的企业综合实力及品牌价值，获得2014中国房地产开发企业500强第27名及运营效率10强第1名、中国房地产百强企业第28及成长性TOP10第1名、中国房地产上市公司综合实力100强第29名及风险控制5强第3名等业内荣誉。2015年3月，被中国房地产业协会评为中国房地产企业500强第22位、运营效率10强第1位及成长性TOP10第1位。</t>
  </si>
  <si>
    <t>吴洁</t>
  </si>
  <si>
    <t>阳光城控股集团有限公司</t>
  </si>
  <si>
    <t>林雪莺</t>
  </si>
  <si>
    <t/>
  </si>
  <si>
    <t>上海外滩投资开发(集团)有限公司</t>
  </si>
  <si>
    <t>杭州市城市建设发展集团有限公司</t>
  </si>
  <si>
    <t>中国金茂(集团)有限公司</t>
  </si>
  <si>
    <t>重庆市地产集团有限公司</t>
  </si>
  <si>
    <t>地方国有企业</t>
  </si>
  <si>
    <t>中央国有企业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</si>
</sst>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0" xfId="0" applyNumberFormat="1" applyAlignment="1"/>
    <xf numFmtId="0" fontId="0" fillId="6" borderId="0" xfId="0" applyFill="1" applyAlignment="1"/>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2" fillId="4" borderId="10" xfId="0" applyFont="1" applyFill="1" applyBorder="1" applyAlignment="1">
      <alignment horizontal="left" vertical="center" wrapText="1"/>
    </xf>
    <xf numFmtId="0" fontId="0" fillId="0" borderId="0" xfId="0" applyAlignment="1"/>
    <xf numFmtId="0" fontId="2" fillId="0" borderId="2" xfId="0" applyFont="1" applyBorder="1" applyAlignment="1">
      <alignment horizontal="left" vertical="center" wrapText="1"/>
    </xf>
    <xf numFmtId="0" fontId="4" fillId="2" borderId="6" xfId="0" applyFont="1" applyFill="1" applyBorder="1" applyAlignment="1">
      <alignment horizontal="right" vertical="center" wrapText="1"/>
    </xf>
    <xf numFmtId="0" fontId="0" fillId="0" borderId="0" xfId="0" applyAlignment="1">
      <alignment vertical="center"/>
    </xf>
    <xf numFmtId="0" fontId="2" fillId="2" borderId="6" xfId="0"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177" fontId="4"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1" fillId="0" borderId="7" xfId="0" applyFont="1" applyBorder="1" applyAlignment="1">
      <alignment horizontal="center" vertical="center" wrapText="1"/>
    </xf>
    <xf numFmtId="0" fontId="7" fillId="0" borderId="0" xfId="0" applyFont="1" applyAlignment="1">
      <alignment vertical="center"/>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7" fillId="3" borderId="12" xfId="0" applyFont="1" applyFill="1" applyBorder="1" applyAlignment="1">
      <alignment horizontal="center" vertical="center"/>
    </xf>
    <xf numFmtId="0" fontId="0" fillId="0" borderId="12" xfId="0" applyBorder="1" applyAlignment="1"/>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0" fontId="7" fillId="2" borderId="12" xfId="0" applyFont="1" applyFill="1" applyBorder="1" applyAlignment="1">
      <alignment vertical="center" wrapText="1"/>
    </xf>
    <xf numFmtId="0" fontId="14" fillId="0" borderId="8" xfId="0" applyFont="1" applyBorder="1" applyAlignment="1">
      <alignment horizontal="center" vertical="center" wrapText="1"/>
    </xf>
    <xf numFmtId="0" fontId="4" fillId="2" borderId="12" xfId="0" applyFont="1" applyFill="1" applyBorder="1" applyAlignment="1">
      <alignment horizontal="left" vertical="center" wrapText="1"/>
    </xf>
    <xf numFmtId="0" fontId="24" fillId="0" borderId="12" xfId="0" applyFont="1" applyBorder="1" applyAlignment="1">
      <alignment horizontal="center" vertical="center"/>
    </xf>
    <xf numFmtId="0" fontId="2" fillId="0" borderId="1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14" fillId="0" borderId="2" xfId="0" applyFont="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12" xfId="0" applyFont="1" applyBorder="1" applyAlignment="1">
      <alignment horizontal="center" vertical="center" wrapText="1"/>
    </xf>
    <xf numFmtId="181" fontId="2" fillId="2" borderId="12" xfId="0" applyNumberFormat="1" applyFont="1" applyFill="1" applyBorder="1" applyAlignment="1">
      <alignment horizontal="center" vertical="center" wrapText="1"/>
    </xf>
    <xf numFmtId="182" fontId="2" fillId="2" borderId="12" xfId="0" applyNumberFormat="1"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5" customWidth="1"/>
    <col min="2" max="2" width="17" style="17" customWidth="1"/>
    <col min="3" max="3" width="15.109375" style="17" customWidth="1"/>
    <col min="4" max="4" width="15.44140625" style="55" customWidth="1"/>
    <col min="5" max="5" width="15.88671875" style="55" customWidth="1"/>
    <col min="6" max="6" width="15.6640625" style="55" customWidth="1"/>
    <col min="7" max="7" width="14.88671875" style="55" customWidth="1"/>
    <col min="8" max="8" width="14.21875" style="55" customWidth="1"/>
    <col min="9" max="9" width="15.6640625" style="55" customWidth="1"/>
    <col min="10" max="10" width="14.77734375" style="55" customWidth="1"/>
    <col min="11" max="11" width="11.88671875" style="55" customWidth="1"/>
    <col min="12" max="12" width="11.77734375" style="55" customWidth="1"/>
    <col min="13" max="13" width="11.88671875" style="55" customWidth="1"/>
    <col min="14" max="14" width="12.33203125" style="55" customWidth="1"/>
    <col min="15" max="15" width="13.44140625" style="55" customWidth="1"/>
    <col min="16" max="16" width="11.6640625" style="55" customWidth="1"/>
    <col min="17" max="17" width="10.6640625" style="55" customWidth="1"/>
    <col min="18" max="18" width="10.88671875" style="55" customWidth="1"/>
  </cols>
  <sheetData>
    <row r="2" spans="1:20" x14ac:dyDescent="0.25">
      <c r="A2" s="38" t="s">
        <v>0</v>
      </c>
      <c r="B2" s="18">
        <v>43100</v>
      </c>
    </row>
    <row r="3" spans="1:20" s="17" customFormat="1" ht="10.8" x14ac:dyDescent="0.25">
      <c r="A3" s="137" t="s">
        <v>1</v>
      </c>
      <c r="B3" s="128"/>
      <c r="C3" s="128"/>
      <c r="D3" s="128"/>
      <c r="E3" s="128"/>
      <c r="F3" s="128"/>
      <c r="G3" s="128"/>
    </row>
    <row r="4" spans="1:20" s="17" customFormat="1" ht="13.5" customHeight="1" x14ac:dyDescent="0.25">
      <c r="A4" s="56" t="s">
        <v>2</v>
      </c>
      <c r="B4" s="138" t="str">
        <f>[1]!b_info_issuerupdated(A2)</f>
        <v>福建阳光集团有限公司</v>
      </c>
      <c r="C4" s="133"/>
      <c r="D4" s="56" t="s">
        <v>3</v>
      </c>
      <c r="E4" s="138" t="str">
        <f>[1]!s_info_nature(A2)</f>
        <v>民营企业</v>
      </c>
      <c r="F4" s="133"/>
      <c r="G4" s="133"/>
      <c r="H4" s="19"/>
    </row>
    <row r="5" spans="1:20" s="17" customFormat="1" ht="14.25" customHeight="1" x14ac:dyDescent="0.25">
      <c r="A5" s="56" t="s">
        <v>4</v>
      </c>
      <c r="B5" s="138" t="str">
        <f>[1]!b_issuer_windindustry(A2,9)</f>
        <v>房地产--房地产Ⅱ--房地产管理和开发--房地产开发</v>
      </c>
      <c r="C5" s="133"/>
      <c r="D5" s="56" t="s">
        <v>5</v>
      </c>
      <c r="E5" s="138" t="str">
        <f>[1]!b_issuer_regaddress(A2)</f>
        <v>福建省福州市马尾区罗星街道登龙路99号</v>
      </c>
      <c r="F5" s="133"/>
      <c r="G5" s="133"/>
    </row>
    <row r="6" spans="1:20" s="17" customFormat="1" ht="81" customHeight="1" x14ac:dyDescent="0.25">
      <c r="A6" s="56" t="s">
        <v>6</v>
      </c>
      <c r="B6" s="136" t="str">
        <f>[1]!s_info_briefing(A2)</f>
        <v>公司的房地产业务是由下属控股子公司阳光城集团股份有限公司经营管理。阳光城为深交所上市公司，代码000671，为住建部批准的一级房地产开发企业，承担房地产项目的建设规模不受任何限制，可以在全国范围承揽房地产开发项目。阳光城坚持“精准投资、高效运营、适销产品”的核心竞争战略，着力打造和提升企业的投资、营运及产品能力，精准把控市场节点，实现资金的快速周转和产品的高溢价。截至2014年末，阳光城集团已进入福建、上海、太原、陕西、甘肃、山西、江苏、浙江等省市发展，土地总储备逾700万平米，全国储备货值近1000亿。同时，凭借快速提升的企业综合实力及品牌价值，获得2014中国房地产开发企业500强第27名及运营效率10强第1名、中国房地产百强企业第28及成长性TOP10第1名、中国房地产上市公司综合实力100强第29名及风险控制5强第3名等业内荣誉。2015年3月，被中国房地产业协会评为中国房地产企业500强第22位、运营效率10强第1位及成长性TOP10第1位。</v>
      </c>
      <c r="C6" s="133"/>
      <c r="D6" s="133"/>
      <c r="E6" s="133"/>
      <c r="F6" s="133"/>
      <c r="G6" s="133"/>
    </row>
    <row r="7" spans="1:20" s="17" customFormat="1" x14ac:dyDescent="0.25">
      <c r="A7" s="58" t="s">
        <v>7</v>
      </c>
      <c r="B7" s="132" t="str">
        <f>[1]!b_issuer_shareholder(A2,"",1)</f>
        <v>吴洁</v>
      </c>
      <c r="C7" s="133"/>
      <c r="D7" s="133"/>
      <c r="E7" s="133"/>
      <c r="F7" s="60">
        <f>[1]!b_issuer_propofshareholder($A$2,"",1)%</f>
        <v>0.45459999084472658</v>
      </c>
      <c r="G7" s="59"/>
      <c r="H7" s="20" t="s">
        <v>8</v>
      </c>
      <c r="M7" s="24">
        <v>42004</v>
      </c>
      <c r="N7" s="24">
        <v>42369</v>
      </c>
      <c r="O7" s="24">
        <v>41639</v>
      </c>
      <c r="P7" s="61" t="s">
        <v>9</v>
      </c>
      <c r="Q7" s="61" t="s">
        <v>10</v>
      </c>
      <c r="R7" s="61" t="s">
        <v>11</v>
      </c>
    </row>
    <row r="8" spans="1:20" s="17" customFormat="1" x14ac:dyDescent="0.25">
      <c r="A8" s="58"/>
      <c r="B8" s="132" t="str">
        <f>[1]!b_issuer_shareholder(A2,"",2)</f>
        <v>阳光城控股集团有限公司</v>
      </c>
      <c r="C8" s="133"/>
      <c r="D8" s="133"/>
      <c r="E8" s="133"/>
      <c r="F8" s="60">
        <f>[1]!b_issuer_propofshareholder($A$2,"",2)%</f>
        <v>0.43880001068115232</v>
      </c>
      <c r="G8" s="59"/>
      <c r="H8" s="20"/>
      <c r="M8" s="25"/>
      <c r="O8" s="25"/>
      <c r="P8" s="62"/>
    </row>
    <row r="9" spans="1:20" s="17" customFormat="1" x14ac:dyDescent="0.25">
      <c r="A9" s="58"/>
      <c r="B9" s="132" t="str">
        <f>[1]!b_issuer_shareholder(A2,"",3)</f>
        <v>林雪莺</v>
      </c>
      <c r="C9" s="133"/>
      <c r="D9" s="133"/>
      <c r="E9" s="133"/>
      <c r="F9" s="60">
        <f>[1]!b_issuer_propofshareholder($A$2,"",3)%</f>
        <v>0.10659999847412109</v>
      </c>
      <c r="G9" s="59"/>
      <c r="H9" s="20"/>
      <c r="M9" s="25"/>
      <c r="O9" s="25"/>
      <c r="P9" s="62"/>
    </row>
    <row r="10" spans="1:20" s="17" customFormat="1" x14ac:dyDescent="0.25">
      <c r="A10" s="58"/>
      <c r="B10" s="132">
        <f>[1]!b_issuer_shareholder(A2,"",4)</f>
        <v>0</v>
      </c>
      <c r="C10" s="133"/>
      <c r="D10" s="133"/>
      <c r="E10" s="133"/>
      <c r="F10" s="60">
        <f>[1]!b_issuer_propofshareholder($A$2,"",4)%</f>
        <v>0</v>
      </c>
      <c r="G10" s="59"/>
      <c r="H10" s="20"/>
      <c r="M10" s="25"/>
      <c r="O10" s="25"/>
      <c r="P10" s="62"/>
    </row>
    <row r="11" spans="1:20" s="17" customFormat="1" x14ac:dyDescent="0.25">
      <c r="A11" s="58"/>
      <c r="B11" s="132">
        <f>[1]!b_issuer_shareholder(A2,"",5)</f>
        <v>0</v>
      </c>
      <c r="C11" s="133"/>
      <c r="D11" s="133"/>
      <c r="E11" s="133"/>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q19041205.IB</v>
      </c>
      <c r="K14" s="26"/>
      <c r="L14" s="27" t="str">
        <f>T15</f>
        <v>101664040.IB</v>
      </c>
      <c r="M14" s="27" t="str">
        <f>T16</f>
        <v>041463011.IB</v>
      </c>
      <c r="N14" s="27" t="str">
        <f>T17</f>
        <v>041676003.IB</v>
      </c>
      <c r="O14" s="27" t="str">
        <f>T18</f>
        <v>101462022.IB</v>
      </c>
      <c r="P14" s="27" t="str">
        <f>T19</f>
        <v>122034.SH</v>
      </c>
      <c r="Q14" s="27" t="str">
        <f>T20</f>
        <v>098019.IB</v>
      </c>
      <c r="R14" s="5" t="str">
        <f>T21</f>
        <v>1380253.IB</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3" t="s">
        <v>22</v>
      </c>
      <c r="J15" s="8" t="str">
        <f>[1]!b_info_issuer(J14)</f>
        <v>福建阳光集团有限公司</v>
      </c>
      <c r="K15" s="117"/>
      <c r="L15" s="8" t="str">
        <f>[1]!b_info_issuer(L14)</f>
        <v>光明房地产集团股份有限公司</v>
      </c>
      <c r="M15" s="8" t="str">
        <f>[1]!b_info_issuer(M14)</f>
        <v>上海外滩投资开发(集团)有限公司</v>
      </c>
      <c r="N15" s="8" t="str">
        <f>[1]!b_info_issuer(N14)</f>
        <v>杭州市城市建设发展集团有限公司</v>
      </c>
      <c r="O15" s="8" t="str">
        <f>[1]!b_info_issuer(O14)</f>
        <v>中国金茂(集团)有限公司</v>
      </c>
      <c r="P15" s="8" t="str">
        <f>[1]!b_info_issuer(P14)</f>
        <v>中华企业股份有限公司</v>
      </c>
      <c r="Q15" s="8" t="str">
        <f>[1]!b_info_issuer(Q14)</f>
        <v>重庆市地产集团有限公司</v>
      </c>
      <c r="R15" s="8" t="str">
        <f>[1]!b_info_issuer(R14)</f>
        <v>重庆市地产集团有限公司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3" t="s">
        <v>24</v>
      </c>
      <c r="J16" s="65" t="str">
        <f>[1]!b_info_latestissurercreditrating(J14)</f>
        <v>AA+</v>
      </c>
      <c r="K16" s="118"/>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民营企业</v>
      </c>
      <c r="K17" s="118"/>
      <c r="L17" s="66" t="str">
        <f>[1]!s_info_nature(L14)</f>
        <v>地方国有企业</v>
      </c>
      <c r="M17" s="66" t="str">
        <f>[1]!s_info_nature(M14)</f>
        <v>地方国有企业</v>
      </c>
      <c r="N17" s="66" t="str">
        <f>[1]!s_info_nature(N14)</f>
        <v>地方国有企业</v>
      </c>
      <c r="O17" s="66" t="str">
        <f>[1]!s_info_nature(O14)</f>
        <v>中央国有企业</v>
      </c>
      <c r="P17" s="66" t="str">
        <f>[1]!s_info_nature(P14)</f>
        <v>地方国有企业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18"/>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3" t="s">
        <v>32</v>
      </c>
      <c r="J19" s="67">
        <f>[1]!b_stm07_bs(J14,74,J13,1)/100000000</f>
        <v>2473.8364228869</v>
      </c>
      <c r="K19" s="118"/>
      <c r="L19" s="67">
        <f>[1]!b_stm07_bs(L14,74,L13,1)/100000000</f>
        <v>541.54492234580005</v>
      </c>
      <c r="M19" s="67">
        <f>[1]!b_stm07_bs(M14,74,M13,1)/100000000</f>
        <v>173.25785611959998</v>
      </c>
      <c r="N19" s="67">
        <f>[1]!b_stm07_bs(N14,74,N13,1)/100000000</f>
        <v>209.4033104916</v>
      </c>
      <c r="O19" s="67">
        <f>[1]!b_stm07_bs(O14,74,O13,1)/100000000</f>
        <v>112.89700585290001</v>
      </c>
      <c r="P19" s="67">
        <f>[1]!b_stm07_bs(P14,74,P13,1)/100000000</f>
        <v>278.58339497869997</v>
      </c>
      <c r="Q19" s="67">
        <f>[1]!b_stm07_bs(Q14,74,Q13,1)/100000000</f>
        <v>1404.1052015414002</v>
      </c>
      <c r="R19" s="67">
        <f>[1]!b_stm07_bs(R14,74,R13,1)/100000000</f>
        <v>1404.1052015414002</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3" t="s">
        <v>34</v>
      </c>
      <c r="J20" s="10">
        <f>[1]!s_fa_debttoassets(J14,J13)/100</f>
        <v>0.84033400000000003</v>
      </c>
      <c r="K20" s="118"/>
      <c r="L20" s="10">
        <f>[1]!s_fa_debttoassets(L14,L13)/100</f>
        <v>0.79915099999999994</v>
      </c>
      <c r="M20" s="10">
        <f>[1]!s_fa_debttoassets(M14,M13)/100</f>
        <v>0.77883599999999997</v>
      </c>
      <c r="N20" s="10">
        <f>[1]!s_fa_debttoassets(N14,N13)/100</f>
        <v>0.58184999999999998</v>
      </c>
      <c r="O20" s="10">
        <f>[1]!s_fa_debttoassets(O14,O13)/100</f>
        <v>0.42721800000000004</v>
      </c>
      <c r="P20" s="10">
        <f>[1]!s_fa_debttoassets(P14,P13)/100</f>
        <v>0.81681700000000002</v>
      </c>
      <c r="Q20" s="10">
        <f>[1]!s_fa_debttoassets(Q14,Q13)/100</f>
        <v>0.62407299999999999</v>
      </c>
      <c r="R20" s="10">
        <f>[1]!s_fa_debttoassets(R14,R13)/100</f>
        <v>0.62407299999999999</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3" t="s">
        <v>36</v>
      </c>
      <c r="J21" s="67">
        <f>[1]!s_fa_current(J14,J13)</f>
        <v>1.6501999999999999</v>
      </c>
      <c r="K21" s="118"/>
      <c r="L21" s="67">
        <f>[1]!s_fa_current(L14,L13)</f>
        <v>1.7016</v>
      </c>
      <c r="M21" s="67">
        <f>[1]!s_fa_current(M14,M13)</f>
        <v>1.6557999999999999</v>
      </c>
      <c r="N21" s="67">
        <f>[1]!s_fa_current(N14,N13)</f>
        <v>1.1955</v>
      </c>
      <c r="O21" s="67">
        <f>[1]!s_fa_current(O14,O13)</f>
        <v>0.35949999999999999</v>
      </c>
      <c r="P21" s="67">
        <f>[1]!s_fa_current(P14,P13)</f>
        <v>1.5146999999999999</v>
      </c>
      <c r="Q21" s="67">
        <f>[1]!s_fa_current(Q14,Q13)</f>
        <v>2.0106000000000002</v>
      </c>
      <c r="R21" s="67">
        <f>[1]!s_fa_current(R14,R13)</f>
        <v>2.0106000000000002</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3" t="s">
        <v>38</v>
      </c>
      <c r="J22" s="65">
        <f>(J96+J97+J98+J99+J100+J101)/J103</f>
        <v>3.2355180446270735</v>
      </c>
      <c r="K22" s="118"/>
      <c r="L22" s="65">
        <f>(公式页!L96+公式页!L97+公式页!L98+公式页!L99+公式页!L100+公式页!L101)/公式页!L103</f>
        <v>2.0300192051901007</v>
      </c>
      <c r="M22" s="65">
        <f t="shared" ref="M22:R22" si="0">(M96+M97+M98+M99+M100+M101)/M103</f>
        <v>2.1667596838530345</v>
      </c>
      <c r="N22" s="65">
        <f t="shared" si="0"/>
        <v>0.80576391969350958</v>
      </c>
      <c r="O22" s="65">
        <f t="shared" si="0"/>
        <v>0.24608213015546976</v>
      </c>
      <c r="P22" s="65">
        <f t="shared" si="0"/>
        <v>1.6199159253370381</v>
      </c>
      <c r="Q22" s="65">
        <f t="shared" si="0"/>
        <v>1.1373668436106041</v>
      </c>
      <c r="R22" s="65">
        <f t="shared" si="0"/>
        <v>1.1373668436106041</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3" t="s">
        <v>39</v>
      </c>
      <c r="J23" s="67">
        <f>[1]!s_fa_ebitdatodebt(J14,J13)</f>
        <v>2.7699999999999999E-2</v>
      </c>
      <c r="K23" s="118"/>
      <c r="L23" s="67">
        <f>[1]!s_fa_ebitdatodebt(L14,L13)</f>
        <v>7.4800000000000005E-2</v>
      </c>
      <c r="M23" s="67">
        <f>[1]!s_fa_ebitdatodebt(M14,M13)</f>
        <v>5.74E-2</v>
      </c>
      <c r="N23" s="67">
        <f>[1]!s_fa_ebitdatodebt(N14,N13)</f>
        <v>2.7699999999999999E-2</v>
      </c>
      <c r="O23" s="67">
        <f>[1]!s_fa_ebitdatodebt(O14,O13)</f>
        <v>0.1925</v>
      </c>
      <c r="P23" s="67">
        <f>[1]!s_fa_ebitdatodebt(P14,P13)</f>
        <v>5.6800000000000003E-2</v>
      </c>
      <c r="Q23" s="67">
        <f>[1]!s_fa_ebitdatodebt(Q14,Q13)</f>
        <v>1.3100000000000001E-2</v>
      </c>
      <c r="R23" s="67">
        <f>[1]!s_fa_ebitdatodebt(R14,R13)</f>
        <v>1.3100000000000001E-2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3" t="s">
        <v>40</v>
      </c>
      <c r="J24" s="67">
        <f>[1]!b_stm07_is(J14,9,J13,1)/100000000</f>
        <v>585.42970091559994</v>
      </c>
      <c r="K24" s="118"/>
      <c r="L24" s="67">
        <f>[1]!b_stm07_is(L14,9,L13,1)/100000000</f>
        <v>208.11263324939998</v>
      </c>
      <c r="M24" s="67">
        <f>[1]!b_stm07_is(M14,9,M13,1)/100000000</f>
        <v>32.001853577199995</v>
      </c>
      <c r="N24" s="67">
        <f>[1]!b_stm07_is(N14,9,N13,1)/100000000</f>
        <v>18.258587954599999</v>
      </c>
      <c r="O24" s="67">
        <f>[1]!b_stm07_is(O14,9,O13,1)/100000000</f>
        <v>24.454598603800001</v>
      </c>
      <c r="P24" s="67">
        <f>[1]!b_stm07_is(P14,9,P13,1)/100000000</f>
        <v>76.589702848199991</v>
      </c>
      <c r="Q24" s="67">
        <f>[1]!b_stm07_is(Q14,9,Q13,1)/100000000</f>
        <v>30.0669211367</v>
      </c>
      <c r="R24" s="67">
        <f>[1]!b_stm07_is(R14,9,R13,1)/100000000</f>
        <v>30.0669211367</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1.429</v>
      </c>
      <c r="K25" s="118"/>
      <c r="L25" s="11">
        <f>[1]!s_fa_salescashintoor(L14,L13)%</f>
        <v>1.0397000000000001</v>
      </c>
      <c r="M25" s="11">
        <f>[1]!s_fa_salescashintoor(M14,M13)%</f>
        <v>0.1663</v>
      </c>
      <c r="N25" s="11">
        <f>[1]!s_fa_salescashintoor(N14,N13)%</f>
        <v>1.8357000000000001</v>
      </c>
      <c r="O25" s="11">
        <f>[1]!s_fa_salescashintoor(O14,O13)%</f>
        <v>1.1108</v>
      </c>
      <c r="P25" s="11">
        <f>[1]!s_fa_salescashintoor(P14,P13)%</f>
        <v>1.0723</v>
      </c>
      <c r="Q25" s="11">
        <f>[1]!s_fa_salescashintoor(Q14,Q13)%</f>
        <v>0.79900000000000004</v>
      </c>
      <c r="R25" s="11">
        <f>[1]!s_fa_salescashintoor(R14,R13)%</f>
        <v>0.79900000000000004</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0.16848600000000002</v>
      </c>
      <c r="K26" s="118"/>
      <c r="L26" s="11">
        <f>[1]!s_fa_grossprofitmargin(L14,L13)%</f>
        <v>0.20491599999999999</v>
      </c>
      <c r="M26" s="11">
        <f>[1]!s_fa_grossprofitmargin(M14,M13)%</f>
        <v>0.12590299999999999</v>
      </c>
      <c r="N26" s="11">
        <f>[1]!s_fa_grossprofitmargin(N14,N13)%</f>
        <v>0.114693</v>
      </c>
      <c r="O26" s="11">
        <f>[1]!s_fa_grossprofitmargin(O14,O13)%</f>
        <v>0.55810199999999999</v>
      </c>
      <c r="P26" s="11">
        <f>[1]!s_fa_grossprofitmargin(P14,P13)%</f>
        <v>0.21302900000000002</v>
      </c>
      <c r="Q26" s="11">
        <f>[1]!s_fa_grossprofitmargin(Q14,Q13)%</f>
        <v>0.35136099999999998</v>
      </c>
      <c r="R26" s="11">
        <f>[1]!s_fa_grossprofitmargin(R14,R13)%</f>
        <v>0.35136099999999998</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31.649124630599999</v>
      </c>
      <c r="K27" s="118"/>
      <c r="L27" s="68">
        <f>[1]!b_stm07_is(L14,60,L13,1)/100000000</f>
        <v>19.880482227599998</v>
      </c>
      <c r="M27" s="68">
        <f>[1]!b_stm07_is(M14,60,M13,1)/100000000</f>
        <v>4.7065288541000001</v>
      </c>
      <c r="N27" s="68">
        <f>[1]!b_stm07_is(N14,60,N13,1)/100000000</f>
        <v>1.3781478146000001</v>
      </c>
      <c r="O27" s="68">
        <f>[1]!b_stm07_is(O14,60,O13,1)/100000000</f>
        <v>2.6613473128999998</v>
      </c>
      <c r="P27" s="68">
        <f>[1]!b_stm07_is(P14,60,P13,1)/100000000</f>
        <v>5.1782944319999995</v>
      </c>
      <c r="Q27" s="68">
        <f>[1]!b_stm07_is(Q14,60,Q13,1)/100000000</f>
        <v>6.5649554366</v>
      </c>
      <c r="R27" s="68">
        <f>[1]!b_stm07_is(R14,60,R13,1)/100000000</f>
        <v>6.5649554366</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3" t="s">
        <v>45</v>
      </c>
      <c r="J28" s="10">
        <f>[1]!s_fa_roe(J14,J13)%</f>
        <v>0.14113100000000001</v>
      </c>
      <c r="K28" s="118"/>
      <c r="L28" s="10">
        <f>[1]!s_fa_roe(L14,L13)%</f>
        <v>0.20266200000000001</v>
      </c>
      <c r="M28" s="10">
        <f>[1]!s_fa_roe(M14,M13)%</f>
        <v>0.123225</v>
      </c>
      <c r="N28" s="10">
        <f>[1]!s_fa_roe(N14,N13)%</f>
        <v>1.3467E-2</v>
      </c>
      <c r="O28" s="10">
        <f>[1]!s_fa_roe(O14,O13)%</f>
        <v>4.2020000000000002E-2</v>
      </c>
      <c r="P28" s="10">
        <f>[1]!s_fa_roe(P14,P13)%</f>
        <v>0.10680099999999999</v>
      </c>
      <c r="Q28" s="10">
        <f>[1]!s_fa_roe(Q14,Q13)%</f>
        <v>1.0965000000000001E-2</v>
      </c>
      <c r="R28" s="10">
        <f>[1]!s_fa_roe(R14,R13)%</f>
        <v>1.0965000000000001E-2</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111.33895061790001</v>
      </c>
      <c r="K29" s="118"/>
      <c r="L29" s="68">
        <f>[1]!b_stm07_cs(L14,39,L13,1)/100000000</f>
        <v>16.7871322449</v>
      </c>
      <c r="M29" s="68">
        <f>[1]!b_stm07_cs(M14,39,M13,1)/100000000</f>
        <v>-1.4394926318000001</v>
      </c>
      <c r="N29" s="68">
        <f>[1]!b_stm07_cs(N14,39,N13,1)/100000000</f>
        <v>8.6314972312999991</v>
      </c>
      <c r="O29" s="68">
        <f>[1]!b_stm07_cs(O14,39,O13,1)/100000000</f>
        <v>6.7157592807000004</v>
      </c>
      <c r="P29" s="68">
        <f>[1]!b_stm07_cs(P14,39,P13,1)/100000000</f>
        <v>52.6858320499</v>
      </c>
      <c r="Q29" s="68">
        <f>[1]!b_stm07_cs(Q14,39,Q13,1)/100000000</f>
        <v>116.3269476394</v>
      </c>
      <c r="R29" s="68">
        <f>[1]!b_stm07_cs(R14,39,R13,1)/100000000</f>
        <v>116.3269476394</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20069079300.200001</v>
      </c>
      <c r="K96" s="70"/>
      <c r="L96" s="70">
        <f>[1]!b_stm07_bs(L14,75,L13,1)</f>
        <v>8676388633.9500008</v>
      </c>
      <c r="M96" s="70">
        <f>[1]!b_stm07_bs(M14,75,M13,1)</f>
        <v>1519500000</v>
      </c>
      <c r="N96" s="70">
        <f>[1]!b_stm07_bs(N14,75,N13,1)</f>
        <v>1300000000</v>
      </c>
      <c r="O96" s="70">
        <f>[1]!b_stm07_bs(O14,75,O13,1)</f>
        <v>1570000000</v>
      </c>
      <c r="P96" s="70">
        <f>[1]!b_stm07_bs(P14,75,P13,1)</f>
        <v>0</v>
      </c>
      <c r="Q96" s="70">
        <f>[1]!b_stm07_bs(Q14,75,Q13,1)</f>
        <v>926096393.88999999</v>
      </c>
      <c r="R96" s="70">
        <f>[1]!b_stm07_bs(R14,75,R13,1)</f>
        <v>926096393.88999999</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1022443601.17</v>
      </c>
      <c r="K97" s="70"/>
      <c r="L97" s="70">
        <f>[1]!b_stm07_bs(L14,82,L13,1)</f>
        <v>85828980.420000002</v>
      </c>
      <c r="M97" s="70">
        <f>[1]!b_stm07_bs(M14,82,M13,1)</f>
        <v>92566684.920000002</v>
      </c>
      <c r="N97" s="70">
        <f>[1]!b_stm07_bs(N14,82,N13,1)</f>
        <v>92860422.590000004</v>
      </c>
      <c r="O97" s="70">
        <f>[1]!b_stm07_bs(O14,82,O13,1)</f>
        <v>21299819.73</v>
      </c>
      <c r="P97" s="70">
        <f>[1]!b_stm07_bs(P14,82,P13,1)</f>
        <v>193115799.94</v>
      </c>
      <c r="Q97" s="70">
        <f>[1]!b_stm07_bs(Q14,82,Q13,1)</f>
        <v>662964147.22000003</v>
      </c>
      <c r="R97" s="70">
        <f>[1]!b_stm07_bs(R14,82,R13,1)</f>
        <v>662964147.22000003</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32758460947.73</v>
      </c>
      <c r="K98" s="70"/>
      <c r="L98" s="70">
        <f>[1]!b_stm07_bs(L14,88,L13,1)</f>
        <v>1078784473.8900001</v>
      </c>
      <c r="M98" s="70">
        <f>[1]!b_stm07_bs(M14,88,M13,1)</f>
        <v>1267002575.8</v>
      </c>
      <c r="N98" s="70">
        <f>[1]!b_stm07_bs(N14,88,N13,1)</f>
        <v>2372714140</v>
      </c>
      <c r="O98" s="70">
        <f>[1]!b_stm07_bs(O14,88,O13,1)</f>
        <v>0</v>
      </c>
      <c r="P98" s="70">
        <f>[1]!b_stm07_bs(P14,88,P13,1)</f>
        <v>2699774541.5900002</v>
      </c>
      <c r="Q98" s="70">
        <f>[1]!b_stm07_bs(Q14,88,Q13,1)</f>
        <v>9600366049.6200008</v>
      </c>
      <c r="R98" s="70">
        <f>[1]!b_stm07_bs(R14,88,R13,1)</f>
        <v>9600366049.6200008</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60264953066.900002</v>
      </c>
      <c r="K100" s="70"/>
      <c r="L100" s="70">
        <f>[1]!b_stm07_bs(L14,94,L13,1)</f>
        <v>8739293330</v>
      </c>
      <c r="M100" s="70">
        <f>[1]!b_stm07_bs(M14,94,M13,1)</f>
        <v>3631070070.2600002</v>
      </c>
      <c r="N100" s="70">
        <f>[1]!b_stm07_bs(N14,94,N13,1)</f>
        <v>323000000</v>
      </c>
      <c r="O100" s="70">
        <f>[1]!b_stm07_bs(O14,94,O13,1)</f>
        <v>0</v>
      </c>
      <c r="P100" s="70">
        <f>[1]!b_stm07_bs(P14,94,P13,1)</f>
        <v>917500000</v>
      </c>
      <c r="Q100" s="70">
        <f>[1]!b_stm07_bs(Q14,94,Q13,1)</f>
        <v>35705292059.110001</v>
      </c>
      <c r="R100" s="70">
        <f>[1]!b_stm07_bs(R14,94,R13,1)</f>
        <v>35705292059.110001</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13684014569.950001</v>
      </c>
      <c r="K101" s="70"/>
      <c r="L101" s="70">
        <f>[1]!b_stm07_bs(L14,95,L13,1)</f>
        <v>3500000000</v>
      </c>
      <c r="M101" s="70">
        <f>[1]!b_stm07_bs(M14,95,M13,1)</f>
        <v>1792541628.77</v>
      </c>
      <c r="N101" s="70">
        <f>[1]!b_stm07_bs(N14,95,N13,1)</f>
        <v>2966847900</v>
      </c>
      <c r="O101" s="70">
        <f>[1]!b_stm07_bs(O14,95,O13,1)</f>
        <v>0</v>
      </c>
      <c r="P101" s="70">
        <f>[1]!b_stm07_bs(P14,95,P13,1)</f>
        <v>4456322015.1800003</v>
      </c>
      <c r="Q101" s="70">
        <f>[1]!b_stm07_bs(Q14,95,Q13,1)</f>
        <v>13140206866.549999</v>
      </c>
      <c r="R101" s="70">
        <f>[1]!b_stm07_bs(R14,95,R13,1)</f>
        <v>13140206866.549999</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39498760236.610001</v>
      </c>
      <c r="K103" s="70"/>
      <c r="L103" s="70">
        <f>[1]!b_stm07_bs(L14,141,L13,1)</f>
        <v>10876889914.049999</v>
      </c>
      <c r="M103" s="70">
        <f>[1]!b_stm07_bs(M14,141,M13,1)</f>
        <v>3831842091.96</v>
      </c>
      <c r="N103" s="70">
        <f>[1]!b_stm07_bs(N14,141,N13,1)</f>
        <v>8756190603.9099998</v>
      </c>
      <c r="O103" s="70">
        <f>[1]!b_stm07_bs(O14,141,O13,1)</f>
        <v>6466539519.6499996</v>
      </c>
      <c r="P103" s="70">
        <f>[1]!b_stm07_bs(P14,141,P13,1)</f>
        <v>5103173706.3699999</v>
      </c>
      <c r="Q103" s="70">
        <f>[1]!b_stm07_bs(Q14,141,Q13,1)</f>
        <v>52784135438.489998</v>
      </c>
      <c r="R103" s="70">
        <f>[1]!b_stm07_bs(R14,141,R13,1)</f>
        <v>52784135438.489998</v>
      </c>
    </row>
    <row r="106" spans="1:19" ht="14.25" customHeight="1" x14ac:dyDescent="0.25">
      <c r="A106" s="127" t="s">
        <v>54</v>
      </c>
      <c r="B106" s="128"/>
      <c r="C106" s="128"/>
      <c r="D106" s="118"/>
      <c r="E106" s="118"/>
      <c r="F106" s="118"/>
      <c r="G106" s="118"/>
      <c r="H106" s="118"/>
      <c r="I106" s="118"/>
      <c r="J106" s="118"/>
      <c r="L106" s="17"/>
      <c r="M106" s="17"/>
    </row>
    <row r="107" spans="1:19" x14ac:dyDescent="0.25">
      <c r="A107" s="126" t="s">
        <v>55</v>
      </c>
      <c r="B107" s="128"/>
      <c r="C107" s="128"/>
      <c r="D107" s="118"/>
      <c r="E107" s="118"/>
      <c r="F107" s="118"/>
      <c r="G107" s="134">
        <v>2017</v>
      </c>
      <c r="H107" s="118"/>
      <c r="I107" s="118"/>
      <c r="J107" s="118"/>
      <c r="K107" s="40" t="str">
        <f>A2</f>
        <v>q19041205.IB</v>
      </c>
      <c r="L107" s="33">
        <f>B2</f>
        <v>43100</v>
      </c>
      <c r="M107" s="17"/>
    </row>
    <row r="108" spans="1:19" ht="12.75" customHeight="1" x14ac:dyDescent="0.25">
      <c r="A108" s="135" t="s">
        <v>56</v>
      </c>
      <c r="B108" s="128"/>
      <c r="C108" s="135" t="s">
        <v>57</v>
      </c>
      <c r="D108" s="118"/>
      <c r="E108" s="135" t="s">
        <v>58</v>
      </c>
      <c r="F108" s="118"/>
      <c r="G108" s="135" t="s">
        <v>59</v>
      </c>
      <c r="H108" s="118"/>
      <c r="I108" s="135" t="s">
        <v>60</v>
      </c>
      <c r="J108" s="118"/>
      <c r="L108" s="17"/>
      <c r="M108" s="17"/>
    </row>
    <row r="109" spans="1:19" ht="16.5" customHeight="1" x14ac:dyDescent="0.25">
      <c r="A109" s="53" t="s">
        <v>61</v>
      </c>
      <c r="B109" s="12">
        <f>M109/100</f>
        <v>0.84033400000000003</v>
      </c>
      <c r="C109" s="53" t="s">
        <v>36</v>
      </c>
      <c r="D109" s="71">
        <f>[1]!s_fa_current(A2,B2)</f>
        <v>1.6501999999999999</v>
      </c>
      <c r="E109" s="53" t="s">
        <v>41</v>
      </c>
      <c r="F109" s="72">
        <f>[1]!s_fa_salescashintoor(A2,B2)/100</f>
        <v>1.429</v>
      </c>
      <c r="G109" s="53" t="s">
        <v>42</v>
      </c>
      <c r="H109" s="12">
        <f>S109/100</f>
        <v>0.16848600000000002</v>
      </c>
      <c r="I109" s="53"/>
      <c r="J109" s="16"/>
      <c r="K109" s="25"/>
      <c r="L109" s="34" t="s">
        <v>61</v>
      </c>
      <c r="M109" s="73">
        <f>[1]!s_fa_debttoassets(A2,B2)</f>
        <v>84.0334</v>
      </c>
      <c r="N109" s="53" t="s">
        <v>36</v>
      </c>
      <c r="O109" s="35"/>
      <c r="P109" s="53" t="s">
        <v>41</v>
      </c>
      <c r="Q109" s="35"/>
      <c r="R109" s="53" t="s">
        <v>42</v>
      </c>
      <c r="S109" s="74">
        <f>[1]!s_fa_grossprofitmargin(A2,B2)</f>
        <v>16.848600000000001</v>
      </c>
    </row>
    <row r="110" spans="1:19" ht="15.75" customHeight="1" x14ac:dyDescent="0.25">
      <c r="A110" s="53" t="s">
        <v>62</v>
      </c>
      <c r="B110" s="12">
        <f>M110/100</f>
        <v>0.88591300000000006</v>
      </c>
      <c r="C110" s="53" t="s">
        <v>63</v>
      </c>
      <c r="D110" s="72">
        <f>[1]!s_fa_quick(A2,B2)</f>
        <v>0.6472</v>
      </c>
      <c r="E110" s="53" t="s">
        <v>64</v>
      </c>
      <c r="F110" s="71">
        <f>[1]!s_fa_arturn(A2,B2)</f>
        <v>26.526299999999999</v>
      </c>
      <c r="G110" s="53" t="s">
        <v>65</v>
      </c>
      <c r="H110" s="12">
        <f>S110/100</f>
        <v>7.0376999999999995E-2</v>
      </c>
      <c r="I110" s="53"/>
      <c r="J110" s="16"/>
      <c r="L110" s="53" t="s">
        <v>62</v>
      </c>
      <c r="M110" s="73">
        <f>[1]!s_fa_catoassets(A2,B2)</f>
        <v>88.591300000000004</v>
      </c>
      <c r="N110" s="53" t="s">
        <v>63</v>
      </c>
      <c r="O110" s="35"/>
      <c r="P110" s="53" t="s">
        <v>64</v>
      </c>
      <c r="Q110" s="72"/>
      <c r="R110" s="53" t="s">
        <v>65</v>
      </c>
      <c r="S110" s="74">
        <f>[1]!s_fa_optogr(A2,B2)</f>
        <v>7.0377000000000001</v>
      </c>
    </row>
    <row r="111" spans="1:19" ht="15" customHeight="1" x14ac:dyDescent="0.25">
      <c r="A111" s="53" t="s">
        <v>66</v>
      </c>
      <c r="B111" s="12">
        <f>M111/100</f>
        <v>0.63886799999999999</v>
      </c>
      <c r="C111" s="53" t="s">
        <v>39</v>
      </c>
      <c r="D111" s="72">
        <f>[1]!s_fa_ebitdatodebt(A2,B2)</f>
        <v>2.7699999999999999E-2</v>
      </c>
      <c r="E111" s="53" t="s">
        <v>67</v>
      </c>
      <c r="F111" s="71">
        <f>[1]!s_fa_invturn(A2,B2)</f>
        <v>0.46820000000000001</v>
      </c>
      <c r="G111" s="53" t="s">
        <v>45</v>
      </c>
      <c r="H111" s="12">
        <f>S111/100</f>
        <v>0.14113100000000001</v>
      </c>
      <c r="I111" s="53"/>
      <c r="J111" s="16"/>
      <c r="L111" s="53" t="s">
        <v>66</v>
      </c>
      <c r="M111" s="73">
        <f>[1]!s_fa_currentdebttodebt(A2,B2)</f>
        <v>63.886800000000001</v>
      </c>
      <c r="N111" s="53" t="s">
        <v>39</v>
      </c>
      <c r="O111" s="35"/>
      <c r="P111" s="53" t="s">
        <v>67</v>
      </c>
      <c r="Q111" s="35"/>
      <c r="R111" s="53" t="s">
        <v>45</v>
      </c>
      <c r="S111" s="74">
        <f>[1]!s_fa_roe(A2,B2)</f>
        <v>14.113099999999999</v>
      </c>
    </row>
    <row r="112" spans="1:19" ht="14.25" customHeight="1" x14ac:dyDescent="0.25">
      <c r="A112" s="53" t="s">
        <v>38</v>
      </c>
      <c r="B112" s="75">
        <f>(M116+M117+M118+M119+M120+M121)/M123</f>
        <v>3.2355180446270735</v>
      </c>
      <c r="C112" s="53" t="s">
        <v>68</v>
      </c>
      <c r="D112" s="72">
        <f>[1]!s_fa_ebittointerest(A2,B2)</f>
        <v>6.1528</v>
      </c>
      <c r="E112" s="53" t="s">
        <v>69</v>
      </c>
      <c r="F112" s="71">
        <f>[1]!s_fa_caturn(A2,B2)</f>
        <v>0.34089999999999998</v>
      </c>
      <c r="G112" s="53" t="s">
        <v>70</v>
      </c>
      <c r="H112" s="12">
        <f>S112/100</f>
        <v>2.8997999999999999E-2</v>
      </c>
      <c r="I112" s="53"/>
      <c r="J112" s="16"/>
      <c r="L112" s="53" t="s">
        <v>38</v>
      </c>
      <c r="M112" s="76"/>
      <c r="N112" s="53" t="s">
        <v>68</v>
      </c>
      <c r="O112" s="35"/>
      <c r="P112" s="53" t="s">
        <v>69</v>
      </c>
      <c r="Q112" s="35"/>
      <c r="R112" s="53" t="s">
        <v>70</v>
      </c>
      <c r="S112" s="74">
        <f>[1]!s_fa_roa2(A2,B2)</f>
        <v>2.8997999999999999</v>
      </c>
    </row>
    <row r="113" spans="1:21" x14ac:dyDescent="0.25">
      <c r="A113" s="30"/>
      <c r="B113" s="31"/>
      <c r="C113" s="30"/>
      <c r="D113" s="32"/>
      <c r="E113" s="30" t="s">
        <v>71</v>
      </c>
      <c r="F113" s="77">
        <f>[1]!s_fa_dupont_faturnover(A2,B2)</f>
        <v>0.30769999999999997</v>
      </c>
      <c r="G113" s="30"/>
      <c r="H113" s="31"/>
      <c r="I113" s="30"/>
      <c r="J113" s="31"/>
      <c r="L113" s="30"/>
      <c r="M113" s="36"/>
      <c r="N113" s="30"/>
      <c r="O113" s="32"/>
      <c r="P113" s="30" t="s">
        <v>71</v>
      </c>
      <c r="Q113" s="37"/>
      <c r="R113" s="30"/>
      <c r="S113" s="31"/>
    </row>
    <row r="114" spans="1:21" ht="13.5" customHeight="1" x14ac:dyDescent="0.25">
      <c r="A114" s="127" t="s">
        <v>72</v>
      </c>
      <c r="B114" s="128"/>
      <c r="C114" s="128"/>
      <c r="D114" s="118"/>
      <c r="E114" s="118"/>
      <c r="F114" s="118"/>
      <c r="G114" s="118"/>
      <c r="H114" s="118"/>
      <c r="I114" s="118"/>
      <c r="J114" s="118"/>
      <c r="L114" s="17"/>
      <c r="M114" s="17"/>
    </row>
    <row r="115" spans="1:21" ht="13.5" customHeight="1" x14ac:dyDescent="0.25">
      <c r="A115" s="126" t="s">
        <v>73</v>
      </c>
      <c r="B115" s="128"/>
      <c r="C115" s="128"/>
      <c r="D115" s="118"/>
      <c r="E115" s="118"/>
      <c r="F115" s="118"/>
      <c r="G115" s="129">
        <v>2017</v>
      </c>
      <c r="H115" s="118"/>
      <c r="I115" s="118"/>
      <c r="J115" s="118"/>
      <c r="L115" s="17"/>
      <c r="M115" s="17"/>
    </row>
    <row r="116" spans="1:21" x14ac:dyDescent="0.25">
      <c r="A116" s="130" t="s">
        <v>74</v>
      </c>
      <c r="B116" s="128"/>
      <c r="C116" s="130" t="s">
        <v>75</v>
      </c>
      <c r="D116" s="118"/>
      <c r="E116" s="131" t="s">
        <v>76</v>
      </c>
      <c r="F116" s="118"/>
      <c r="G116" s="118"/>
      <c r="H116" s="118"/>
      <c r="I116" s="118"/>
      <c r="J116" s="118"/>
      <c r="L116" s="17" t="s">
        <v>47</v>
      </c>
      <c r="M116" s="70">
        <f>[1]!b_stm07_bs(K107,75,L107,1)</f>
        <v>20069079300.200001</v>
      </c>
    </row>
    <row r="117" spans="1:21" ht="14.25" customHeight="1" x14ac:dyDescent="0.25">
      <c r="A117" s="53" t="s">
        <v>77</v>
      </c>
      <c r="B117" s="72">
        <f t="shared" ref="B117:B131" si="1">M127/100000000</f>
        <v>402.5952413064</v>
      </c>
      <c r="C117" s="53" t="s">
        <v>78</v>
      </c>
      <c r="D117" s="75">
        <f t="shared" ref="D117:D125" si="2">O127/100000000</f>
        <v>585.42970091559994</v>
      </c>
      <c r="E117" s="119" t="s">
        <v>79</v>
      </c>
      <c r="F117" s="118"/>
      <c r="G117" s="118"/>
      <c r="H117" s="124">
        <f t="shared" ref="H117:H131" si="3">S127/100000000</f>
        <v>836.56910895539988</v>
      </c>
      <c r="I117" s="118"/>
      <c r="J117" s="118"/>
      <c r="L117" s="17" t="s">
        <v>48</v>
      </c>
      <c r="M117" s="70">
        <f>[1]!b_stm07_bs(K107,82,L107,1)</f>
        <v>1022443601.17</v>
      </c>
    </row>
    <row r="118" spans="1:21" ht="14.25" customHeight="1" x14ac:dyDescent="0.25">
      <c r="A118" s="53" t="s">
        <v>80</v>
      </c>
      <c r="B118" s="72">
        <f t="shared" si="1"/>
        <v>35.504803180000003</v>
      </c>
      <c r="C118" s="53" t="s">
        <v>81</v>
      </c>
      <c r="D118" s="75">
        <f t="shared" si="2"/>
        <v>552.99609163030004</v>
      </c>
      <c r="E118" s="119" t="s">
        <v>82</v>
      </c>
      <c r="F118" s="118"/>
      <c r="G118" s="118"/>
      <c r="H118" s="124">
        <f t="shared" si="3"/>
        <v>213.55455939839999</v>
      </c>
      <c r="I118" s="118"/>
      <c r="J118" s="118"/>
      <c r="L118" s="17" t="s">
        <v>49</v>
      </c>
      <c r="M118" s="70">
        <f>[1]!b_stm07_bs(K107,88,L107,1)</f>
        <v>32758460947.73</v>
      </c>
    </row>
    <row r="119" spans="1:21" ht="14.25" customHeight="1" x14ac:dyDescent="0.25">
      <c r="A119" s="53" t="s">
        <v>83</v>
      </c>
      <c r="B119" s="72">
        <f t="shared" si="1"/>
        <v>250.2310240777</v>
      </c>
      <c r="C119" s="53" t="s">
        <v>84</v>
      </c>
      <c r="D119" s="75">
        <f t="shared" si="2"/>
        <v>486.79320346989999</v>
      </c>
      <c r="E119" s="119" t="s">
        <v>85</v>
      </c>
      <c r="F119" s="118"/>
      <c r="G119" s="118"/>
      <c r="H119" s="123">
        <f t="shared" si="3"/>
        <v>1050.9121507464999</v>
      </c>
      <c r="I119" s="118"/>
      <c r="J119" s="118"/>
      <c r="L119" s="17" t="s">
        <v>50</v>
      </c>
      <c r="M119" s="70">
        <f>[1]!b_stm07_bs(K107,147,L107,1)</f>
        <v>0</v>
      </c>
    </row>
    <row r="120" spans="1:21" ht="14.25" customHeight="1" x14ac:dyDescent="0.25">
      <c r="A120" s="53" t="s">
        <v>86</v>
      </c>
      <c r="B120" s="72">
        <f t="shared" si="1"/>
        <v>55.175550850299999</v>
      </c>
      <c r="C120" s="53" t="s">
        <v>87</v>
      </c>
      <c r="D120" s="75">
        <f t="shared" si="2"/>
        <v>10.7508787522</v>
      </c>
      <c r="E120" s="119" t="s">
        <v>88</v>
      </c>
      <c r="F120" s="118"/>
      <c r="G120" s="118"/>
      <c r="H120" s="124">
        <f t="shared" si="3"/>
        <v>573.34385593859997</v>
      </c>
      <c r="I120" s="118"/>
      <c r="J120" s="118"/>
      <c r="L120" s="17" t="s">
        <v>51</v>
      </c>
      <c r="M120" s="70">
        <f>[1]!b_stm07_bs(K107,94,L107,1)</f>
        <v>60264953066.900002</v>
      </c>
    </row>
    <row r="121" spans="1:21" ht="14.25" customHeight="1" x14ac:dyDescent="0.25">
      <c r="A121" s="53" t="s">
        <v>89</v>
      </c>
      <c r="B121" s="72">
        <f t="shared" si="1"/>
        <v>1.3040699688999999</v>
      </c>
      <c r="C121" s="53" t="s">
        <v>90</v>
      </c>
      <c r="D121" s="75">
        <f t="shared" si="2"/>
        <v>19.000864478499999</v>
      </c>
      <c r="E121" s="119" t="s">
        <v>91</v>
      </c>
      <c r="F121" s="118"/>
      <c r="G121" s="118"/>
      <c r="H121" s="124">
        <f t="shared" si="3"/>
        <v>293.73621886889998</v>
      </c>
      <c r="I121" s="118"/>
      <c r="J121" s="118"/>
      <c r="L121" s="17" t="s">
        <v>52</v>
      </c>
      <c r="M121" s="70">
        <f>[1]!b_stm07_bs(K107,95,L107,1)</f>
        <v>13684014569.950001</v>
      </c>
    </row>
    <row r="122" spans="1:21" ht="14.25" customHeight="1" x14ac:dyDescent="0.25">
      <c r="A122" s="53" t="s">
        <v>92</v>
      </c>
      <c r="B122" s="72">
        <f t="shared" si="1"/>
        <v>21.957815618600002</v>
      </c>
      <c r="C122" s="53" t="s">
        <v>93</v>
      </c>
      <c r="D122" s="75">
        <f t="shared" si="2"/>
        <v>8.2798405983999999</v>
      </c>
      <c r="E122" s="119" t="s">
        <v>94</v>
      </c>
      <c r="F122" s="118"/>
      <c r="G122" s="118"/>
      <c r="H122" s="123">
        <f t="shared" si="3"/>
        <v>939.57320012859998</v>
      </c>
      <c r="I122" s="118"/>
      <c r="J122" s="118"/>
      <c r="L122" s="17"/>
      <c r="M122" s="17"/>
    </row>
    <row r="123" spans="1:21" ht="14.25" customHeight="1" x14ac:dyDescent="0.25">
      <c r="A123" s="53" t="s">
        <v>95</v>
      </c>
      <c r="B123" s="78">
        <f t="shared" si="1"/>
        <v>2473.8364228869</v>
      </c>
      <c r="C123" s="53" t="s">
        <v>96</v>
      </c>
      <c r="D123" s="75">
        <f t="shared" si="2"/>
        <v>41.200975268400001</v>
      </c>
      <c r="E123" s="119" t="s">
        <v>97</v>
      </c>
      <c r="F123" s="118"/>
      <c r="G123" s="118"/>
      <c r="H123" s="123">
        <f t="shared" si="3"/>
        <v>111.33895061790001</v>
      </c>
      <c r="I123" s="118"/>
      <c r="J123" s="118"/>
      <c r="L123" s="17" t="s">
        <v>53</v>
      </c>
      <c r="M123" s="70">
        <f>[1]!b_stm07_bs(K107,141,L107,1)</f>
        <v>39498760236.610001</v>
      </c>
    </row>
    <row r="124" spans="1:21" ht="14.25" customHeight="1" x14ac:dyDescent="0.25">
      <c r="A124" s="53" t="s">
        <v>98</v>
      </c>
      <c r="B124" s="72">
        <f t="shared" si="1"/>
        <v>200.69079300200002</v>
      </c>
      <c r="C124" s="53" t="s">
        <v>99</v>
      </c>
      <c r="D124" s="75">
        <f t="shared" si="2"/>
        <v>46.208202439499999</v>
      </c>
      <c r="E124" s="119" t="s">
        <v>100</v>
      </c>
      <c r="F124" s="118"/>
      <c r="G124" s="118"/>
      <c r="H124" s="123">
        <f t="shared" si="3"/>
        <v>-395.67018520390002</v>
      </c>
      <c r="I124" s="118"/>
      <c r="J124" s="118"/>
      <c r="L124" s="17"/>
      <c r="M124" s="17"/>
    </row>
    <row r="125" spans="1:21" ht="27" customHeight="1" x14ac:dyDescent="0.25">
      <c r="A125" s="53" t="s">
        <v>101</v>
      </c>
      <c r="B125" s="72">
        <f t="shared" si="1"/>
        <v>327.58460947729998</v>
      </c>
      <c r="C125" s="53" t="s">
        <v>43</v>
      </c>
      <c r="D125" s="75">
        <f t="shared" si="2"/>
        <v>31.649124630599999</v>
      </c>
      <c r="E125" s="119" t="s">
        <v>102</v>
      </c>
      <c r="F125" s="118"/>
      <c r="G125" s="118"/>
      <c r="H125" s="124">
        <f t="shared" si="3"/>
        <v>78.130483440000006</v>
      </c>
      <c r="I125" s="118"/>
      <c r="J125" s="118"/>
      <c r="L125" s="17"/>
      <c r="M125" s="17"/>
    </row>
    <row r="126" spans="1:21" ht="16.5" customHeight="1" x14ac:dyDescent="0.25">
      <c r="A126" s="53" t="s">
        <v>103</v>
      </c>
      <c r="B126" s="72">
        <f t="shared" si="1"/>
        <v>0</v>
      </c>
      <c r="C126" s="53"/>
      <c r="D126" s="79"/>
      <c r="E126" s="119" t="s">
        <v>104</v>
      </c>
      <c r="F126" s="118"/>
      <c r="G126" s="118"/>
      <c r="H126" s="124">
        <f t="shared" si="3"/>
        <v>856.59329167020007</v>
      </c>
      <c r="I126" s="118"/>
      <c r="J126" s="118"/>
      <c r="L126" s="125" t="s">
        <v>74</v>
      </c>
      <c r="M126" s="118"/>
      <c r="N126" s="125" t="s">
        <v>75</v>
      </c>
      <c r="O126" s="118"/>
      <c r="P126" s="126" t="s">
        <v>76</v>
      </c>
      <c r="Q126" s="118"/>
      <c r="R126" s="118"/>
      <c r="S126" s="121"/>
      <c r="T126" s="121"/>
      <c r="U126" s="121"/>
    </row>
    <row r="127" spans="1:21" ht="14.25" customHeight="1" x14ac:dyDescent="0.25">
      <c r="A127" s="53" t="s">
        <v>105</v>
      </c>
      <c r="B127" s="72">
        <f t="shared" si="1"/>
        <v>602.649530669</v>
      </c>
      <c r="C127" s="53"/>
      <c r="D127" s="79"/>
      <c r="E127" s="119" t="s">
        <v>106</v>
      </c>
      <c r="F127" s="118"/>
      <c r="G127" s="118"/>
      <c r="H127" s="124">
        <f t="shared" si="3"/>
        <v>124.63022181700001</v>
      </c>
      <c r="I127" s="118"/>
      <c r="J127" s="118"/>
      <c r="L127" s="53" t="s">
        <v>77</v>
      </c>
      <c r="M127" s="74">
        <f>[1]!b_stm07_bs(K107,9,L107,1)</f>
        <v>40259524130.639999</v>
      </c>
      <c r="N127" s="53" t="s">
        <v>78</v>
      </c>
      <c r="O127" s="74">
        <f>[1]!b_stm07_is(K107,83,L107,1)</f>
        <v>58542970091.559998</v>
      </c>
      <c r="P127" s="119" t="s">
        <v>79</v>
      </c>
      <c r="Q127" s="118"/>
      <c r="R127" s="118"/>
      <c r="S127" s="120">
        <f>[1]!b_stm07_cs(K107,9,L107,1)</f>
        <v>83656910895.539993</v>
      </c>
      <c r="T127" s="121"/>
      <c r="U127" s="121"/>
    </row>
    <row r="128" spans="1:21" ht="14.25" customHeight="1" x14ac:dyDescent="0.25">
      <c r="A128" s="53" t="s">
        <v>107</v>
      </c>
      <c r="B128" s="72">
        <f t="shared" si="1"/>
        <v>136.8401456995</v>
      </c>
      <c r="C128" s="53"/>
      <c r="D128" s="79"/>
      <c r="E128" s="119" t="s">
        <v>108</v>
      </c>
      <c r="F128" s="118"/>
      <c r="G128" s="118"/>
      <c r="H128" s="123">
        <f t="shared" si="3"/>
        <v>1069.304730481</v>
      </c>
      <c r="I128" s="118"/>
      <c r="J128" s="118"/>
      <c r="L128" s="53" t="s">
        <v>80</v>
      </c>
      <c r="M128" s="74">
        <f>[1]!b_stm07_bs(K107,12,L107,1)</f>
        <v>3550480318</v>
      </c>
      <c r="N128" s="53" t="s">
        <v>81</v>
      </c>
      <c r="O128" s="74">
        <f>[1]!b_stm07_is(K107,84,L107,1)</f>
        <v>55299609163.029999</v>
      </c>
      <c r="P128" s="119" t="s">
        <v>82</v>
      </c>
      <c r="Q128" s="118"/>
      <c r="R128" s="118"/>
      <c r="S128" s="120">
        <f>[1]!b_stm07_cs(K107,11,L107,1)</f>
        <v>21355455939.84</v>
      </c>
      <c r="T128" s="121"/>
      <c r="U128" s="121"/>
    </row>
    <row r="129" spans="1:21" ht="14.25" customHeight="1" x14ac:dyDescent="0.25">
      <c r="A129" s="53" t="s">
        <v>109</v>
      </c>
      <c r="B129" s="78">
        <f t="shared" si="1"/>
        <v>2078.8488205208</v>
      </c>
      <c r="C129" s="14"/>
      <c r="D129" s="13"/>
      <c r="E129" s="119" t="s">
        <v>110</v>
      </c>
      <c r="F129" s="118"/>
      <c r="G129" s="118"/>
      <c r="H129" s="124">
        <f t="shared" si="3"/>
        <v>492.46877029550001</v>
      </c>
      <c r="I129" s="118"/>
      <c r="J129" s="118"/>
      <c r="L129" s="53" t="s">
        <v>83</v>
      </c>
      <c r="M129" s="74">
        <f>[1]!b_stm07_bs(K107,13,L107,1)</f>
        <v>25023102407.77</v>
      </c>
      <c r="N129" s="53" t="s">
        <v>84</v>
      </c>
      <c r="O129" s="74">
        <f>[1]!b_stm07_is(K107,10,L107,1)</f>
        <v>48679320346.989998</v>
      </c>
      <c r="P129" s="119" t="s">
        <v>85</v>
      </c>
      <c r="Q129" s="118"/>
      <c r="R129" s="118"/>
      <c r="S129" s="122">
        <f>[1]!b_stm07_cs(K107,25,L107,1)</f>
        <v>105091215074.64999</v>
      </c>
      <c r="T129" s="121"/>
      <c r="U129" s="121"/>
    </row>
    <row r="130" spans="1:21" ht="14.25" customHeight="1" x14ac:dyDescent="0.25">
      <c r="A130" s="53" t="s">
        <v>111</v>
      </c>
      <c r="B130" s="78">
        <f t="shared" si="1"/>
        <v>394.98760236610002</v>
      </c>
      <c r="C130" s="14"/>
      <c r="D130" s="13"/>
      <c r="E130" s="119" t="s">
        <v>112</v>
      </c>
      <c r="F130" s="118"/>
      <c r="G130" s="118"/>
      <c r="H130" s="124">
        <f t="shared" si="3"/>
        <v>607.23025725550008</v>
      </c>
      <c r="I130" s="118"/>
      <c r="J130" s="118"/>
      <c r="L130" s="53" t="s">
        <v>86</v>
      </c>
      <c r="M130" s="74">
        <f>[1]!b_stm07_bs(K107,31,L107,1)</f>
        <v>5517555085.0299997</v>
      </c>
      <c r="N130" s="53" t="s">
        <v>87</v>
      </c>
      <c r="O130" s="74">
        <f>[1]!b_stm07_is(K107,12,L107,1)</f>
        <v>1075087875.22</v>
      </c>
      <c r="P130" s="119" t="s">
        <v>88</v>
      </c>
      <c r="Q130" s="118"/>
      <c r="R130" s="118"/>
      <c r="S130" s="120">
        <f>[1]!b_stm07_cs(K107,26,L107,1)</f>
        <v>57334385593.860001</v>
      </c>
      <c r="T130" s="121"/>
      <c r="U130" s="121"/>
    </row>
    <row r="131" spans="1:21" ht="14.25" customHeight="1" x14ac:dyDescent="0.25">
      <c r="A131" s="15" t="s">
        <v>113</v>
      </c>
      <c r="B131" s="78">
        <f t="shared" si="1"/>
        <v>2473.8364228869</v>
      </c>
      <c r="C131" s="14"/>
      <c r="D131" s="13"/>
      <c r="E131" s="119" t="s">
        <v>114</v>
      </c>
      <c r="F131" s="118"/>
      <c r="G131" s="118"/>
      <c r="H131" s="123">
        <f t="shared" si="3"/>
        <v>462.07447322550001</v>
      </c>
      <c r="I131" s="118"/>
      <c r="J131" s="118"/>
      <c r="L131" s="53" t="s">
        <v>89</v>
      </c>
      <c r="M131" s="74">
        <f>[1]!b_stm07_bs(K107,33,L107,1)</f>
        <v>130406996.89</v>
      </c>
      <c r="N131" s="53" t="s">
        <v>90</v>
      </c>
      <c r="O131" s="74">
        <f>[1]!b_stm07_is(K107,13,L107,1)</f>
        <v>1900086447.8499999</v>
      </c>
      <c r="P131" s="119" t="s">
        <v>91</v>
      </c>
      <c r="Q131" s="118"/>
      <c r="R131" s="118"/>
      <c r="S131" s="120">
        <f>[1]!b_stm07_cs(K107,29,L107,1)</f>
        <v>29373621886.889999</v>
      </c>
      <c r="T131" s="121"/>
      <c r="U131" s="121"/>
    </row>
    <row r="132" spans="1:21" x14ac:dyDescent="0.25">
      <c r="L132" s="53" t="s">
        <v>92</v>
      </c>
      <c r="M132" s="74">
        <f>[1]!b_stm07_bs(K107,37,L107,1)</f>
        <v>2195781561.8600001</v>
      </c>
      <c r="N132" s="53" t="s">
        <v>93</v>
      </c>
      <c r="O132" s="74">
        <f>[1]!b_stm07_is(K107,14,L107,1)</f>
        <v>827984059.84000003</v>
      </c>
      <c r="P132" s="119" t="s">
        <v>94</v>
      </c>
      <c r="Q132" s="118"/>
      <c r="R132" s="118"/>
      <c r="S132" s="122">
        <f>[1]!b_stm07_cs(K107,37,L107,1)</f>
        <v>93957320012.860001</v>
      </c>
      <c r="T132" s="121"/>
      <c r="U132" s="121"/>
    </row>
    <row r="133" spans="1:21" x14ac:dyDescent="0.25">
      <c r="L133" s="53" t="s">
        <v>95</v>
      </c>
      <c r="M133" s="80">
        <f>[1]!b_stm07_bs(K107,74,L107,1)</f>
        <v>247383642288.69</v>
      </c>
      <c r="N133" s="53" t="s">
        <v>96</v>
      </c>
      <c r="O133" s="74">
        <f>[1]!b_stm07_is(K107,48,L107,1)</f>
        <v>4120097526.8400002</v>
      </c>
      <c r="P133" s="119" t="s">
        <v>97</v>
      </c>
      <c r="Q133" s="118"/>
      <c r="R133" s="118"/>
      <c r="S133" s="122">
        <f>[1]!b_stm07_cs(K107,39,L107,1)</f>
        <v>11133895061.790001</v>
      </c>
      <c r="T133" s="121"/>
      <c r="U133" s="121"/>
    </row>
    <row r="134" spans="1:21" x14ac:dyDescent="0.25">
      <c r="L134" s="53" t="s">
        <v>98</v>
      </c>
      <c r="M134" s="74">
        <f>[1]!b_stm07_bs(K107,75,L107,1)</f>
        <v>20069079300.200001</v>
      </c>
      <c r="N134" s="53" t="s">
        <v>99</v>
      </c>
      <c r="O134" s="74">
        <f>[1]!b_stm07_is(K107,55,L107,1)</f>
        <v>4620820243.9499998</v>
      </c>
      <c r="P134" s="119" t="s">
        <v>100</v>
      </c>
      <c r="Q134" s="118"/>
      <c r="R134" s="118"/>
      <c r="S134" s="122">
        <f>[1]!b_stm07_cs(K107,59,L107,1)</f>
        <v>-39567018520.389999</v>
      </c>
      <c r="T134" s="121"/>
      <c r="U134" s="121"/>
    </row>
    <row r="135" spans="1:21" ht="32.4" customHeight="1" x14ac:dyDescent="0.25">
      <c r="L135" s="53" t="s">
        <v>101</v>
      </c>
      <c r="M135" s="74">
        <f>[1]!b_stm07_bs(K107,88,L107,1)</f>
        <v>32758460947.73</v>
      </c>
      <c r="N135" s="53" t="s">
        <v>43</v>
      </c>
      <c r="O135" s="74">
        <f>[1]!b_stm07_is(K107,60,L107,1)</f>
        <v>3164912463.0599999</v>
      </c>
      <c r="P135" s="119" t="s">
        <v>102</v>
      </c>
      <c r="Q135" s="118"/>
      <c r="R135" s="118"/>
      <c r="S135" s="120">
        <f>[1]!b_stm07_cs(K107,60,L107,1)</f>
        <v>7813048344</v>
      </c>
      <c r="T135" s="121"/>
      <c r="U135" s="121"/>
    </row>
    <row r="136" spans="1:21" ht="21.6" customHeight="1" x14ac:dyDescent="0.25">
      <c r="L136" s="53" t="s">
        <v>103</v>
      </c>
      <c r="M136" s="74">
        <f>[1]!b_stm07_bs(K107,147,L107,1)</f>
        <v>0</v>
      </c>
      <c r="N136" s="53"/>
      <c r="O136" s="79"/>
      <c r="P136" s="119" t="s">
        <v>104</v>
      </c>
      <c r="Q136" s="118"/>
      <c r="R136" s="118"/>
      <c r="S136" s="120">
        <f>[1]!b_stm07_cs(K107,61,L107,1)</f>
        <v>85659329167.020004</v>
      </c>
      <c r="T136" s="121"/>
      <c r="U136" s="121"/>
    </row>
    <row r="137" spans="1:21" x14ac:dyDescent="0.25">
      <c r="L137" s="53" t="s">
        <v>105</v>
      </c>
      <c r="M137" s="74">
        <f>[1]!b_stm07_bs(K107,94,L107,1)</f>
        <v>60264953066.900002</v>
      </c>
      <c r="N137" s="53"/>
      <c r="O137" s="79"/>
      <c r="P137" s="119" t="s">
        <v>106</v>
      </c>
      <c r="Q137" s="118"/>
      <c r="R137" s="118"/>
      <c r="S137" s="120">
        <f>[1]!b_stm07_cs(K107,63,L107,1)</f>
        <v>12463022181.700001</v>
      </c>
      <c r="T137" s="121"/>
      <c r="U137" s="121"/>
    </row>
    <row r="138" spans="1:21" x14ac:dyDescent="0.25">
      <c r="L138" s="53" t="s">
        <v>107</v>
      </c>
      <c r="M138" s="74">
        <f>[1]!b_stm07_bs(K107,95,L107,1)</f>
        <v>13684014569.950001</v>
      </c>
      <c r="N138" s="53"/>
      <c r="O138" s="79"/>
      <c r="P138" s="119" t="s">
        <v>108</v>
      </c>
      <c r="Q138" s="118"/>
      <c r="R138" s="118"/>
      <c r="S138" s="122">
        <f>[1]!b_stm07_cs(K107,68,L107,1)</f>
        <v>106930473048.10001</v>
      </c>
      <c r="T138" s="121"/>
      <c r="U138" s="121"/>
    </row>
    <row r="139" spans="1:21" x14ac:dyDescent="0.25">
      <c r="L139" s="53" t="s">
        <v>109</v>
      </c>
      <c r="M139" s="80">
        <f>[1]!b_stm07_bs(K107,128,L107,1)</f>
        <v>207884882052.07999</v>
      </c>
      <c r="N139" s="14"/>
      <c r="O139" s="13"/>
      <c r="P139" s="119" t="s">
        <v>110</v>
      </c>
      <c r="Q139" s="118"/>
      <c r="R139" s="118"/>
      <c r="S139" s="120">
        <f>[1]!b_stm07_cs(K107,69,L107,1)</f>
        <v>49246877029.550003</v>
      </c>
      <c r="T139" s="121"/>
      <c r="U139" s="121"/>
    </row>
    <row r="140" spans="1:21" ht="21.6" customHeight="1" x14ac:dyDescent="0.25">
      <c r="L140" s="53" t="s">
        <v>111</v>
      </c>
      <c r="M140" s="80">
        <f>[1]!b_stm07_bs(K107,141,L107,1)</f>
        <v>39498760236.610001</v>
      </c>
      <c r="N140" s="14"/>
      <c r="O140" s="13"/>
      <c r="P140" s="119" t="s">
        <v>112</v>
      </c>
      <c r="Q140" s="118"/>
      <c r="R140" s="118"/>
      <c r="S140" s="120">
        <f>[1]!b_stm07_cs(K107,75,L107,1)</f>
        <v>60723025725.550003</v>
      </c>
      <c r="T140" s="121"/>
      <c r="U140" s="121"/>
    </row>
    <row r="141" spans="1:21" ht="21.6" customHeight="1" x14ac:dyDescent="0.25">
      <c r="L141" s="15" t="s">
        <v>113</v>
      </c>
      <c r="M141" s="80">
        <f>[1]!b_stm07_bs(K107,145,L107,1)</f>
        <v>247383642288.69</v>
      </c>
      <c r="N141" s="14"/>
      <c r="O141" s="13"/>
      <c r="P141" s="119" t="s">
        <v>114</v>
      </c>
      <c r="Q141" s="118"/>
      <c r="R141" s="118"/>
      <c r="S141" s="122">
        <f>[1]!b_stm07_cs(K107,77,L107,1)</f>
        <v>46207447322.550003</v>
      </c>
      <c r="T141" s="121"/>
      <c r="U141" s="121"/>
    </row>
  </sheetData>
  <mergeCells count="89">
    <mergeCell ref="A3:G3"/>
    <mergeCell ref="B4:C4"/>
    <mergeCell ref="E4:G4"/>
    <mergeCell ref="B5:C5"/>
    <mergeCell ref="E5:G5"/>
    <mergeCell ref="B6:G6"/>
    <mergeCell ref="B7:E7"/>
    <mergeCell ref="B8:E8"/>
    <mergeCell ref="B9:E9"/>
    <mergeCell ref="B10:E10"/>
    <mergeCell ref="B11:E11"/>
    <mergeCell ref="A106:J106"/>
    <mergeCell ref="A107:F107"/>
    <mergeCell ref="G107:J107"/>
    <mergeCell ref="A108:B108"/>
    <mergeCell ref="C108:D108"/>
    <mergeCell ref="E108:F108"/>
    <mergeCell ref="G108:H108"/>
    <mergeCell ref="I108:J108"/>
    <mergeCell ref="A114:J114"/>
    <mergeCell ref="A115:F115"/>
    <mergeCell ref="G115:J115"/>
    <mergeCell ref="A116:B116"/>
    <mergeCell ref="C116:D116"/>
    <mergeCell ref="E116:J116"/>
    <mergeCell ref="E117:G117"/>
    <mergeCell ref="H117:J117"/>
    <mergeCell ref="E118:G118"/>
    <mergeCell ref="H118:J118"/>
    <mergeCell ref="E119:G119"/>
    <mergeCell ref="H119:J119"/>
    <mergeCell ref="E120:G120"/>
    <mergeCell ref="H120:J120"/>
    <mergeCell ref="E121:G121"/>
    <mergeCell ref="H121:J121"/>
    <mergeCell ref="E122:G122"/>
    <mergeCell ref="H122:J122"/>
    <mergeCell ref="E123:G123"/>
    <mergeCell ref="H123:J123"/>
    <mergeCell ref="E124:G124"/>
    <mergeCell ref="H124:J124"/>
    <mergeCell ref="E125:G125"/>
    <mergeCell ref="H125:J125"/>
    <mergeCell ref="E126:G126"/>
    <mergeCell ref="H126:J126"/>
    <mergeCell ref="L126:M126"/>
    <mergeCell ref="N126:O126"/>
    <mergeCell ref="P126:U126"/>
    <mergeCell ref="E127:G127"/>
    <mergeCell ref="H127:J127"/>
    <mergeCell ref="P127:R127"/>
    <mergeCell ref="S127:U127"/>
    <mergeCell ref="E128:G128"/>
    <mergeCell ref="H128:J128"/>
    <mergeCell ref="P128:R128"/>
    <mergeCell ref="S128:U128"/>
    <mergeCell ref="E129:G129"/>
    <mergeCell ref="H129:J129"/>
    <mergeCell ref="P129:R129"/>
    <mergeCell ref="S129:U129"/>
    <mergeCell ref="E130:G130"/>
    <mergeCell ref="H130:J130"/>
    <mergeCell ref="P130:R130"/>
    <mergeCell ref="S130:U130"/>
    <mergeCell ref="E131:G131"/>
    <mergeCell ref="H131:J131"/>
    <mergeCell ref="P131:R131"/>
    <mergeCell ref="S131:U131"/>
    <mergeCell ref="P132:R132"/>
    <mergeCell ref="S132:U132"/>
    <mergeCell ref="P141:R141"/>
    <mergeCell ref="S141:U141"/>
    <mergeCell ref="P136:R136"/>
    <mergeCell ref="S136:U136"/>
    <mergeCell ref="P137:R137"/>
    <mergeCell ref="S137:U137"/>
    <mergeCell ref="P138:R138"/>
    <mergeCell ref="S138:U138"/>
    <mergeCell ref="K15:K29"/>
    <mergeCell ref="P139:R139"/>
    <mergeCell ref="S139:U139"/>
    <mergeCell ref="P140:R140"/>
    <mergeCell ref="S140:U140"/>
    <mergeCell ref="P133:R133"/>
    <mergeCell ref="S133:U133"/>
    <mergeCell ref="P134:R134"/>
    <mergeCell ref="S134:U134"/>
    <mergeCell ref="P135:R135"/>
    <mergeCell ref="S135:U13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tabSelected="1" workbookViewId="0">
      <selection activeCell="B4" sqref="B4:G4"/>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43" t="s">
        <v>1</v>
      </c>
      <c r="B1" s="128"/>
      <c r="C1" s="128"/>
      <c r="D1" s="128"/>
      <c r="E1" s="128"/>
      <c r="F1" s="128"/>
      <c r="G1" s="128"/>
    </row>
    <row r="2" spans="1:12" ht="13.5" customHeight="1" x14ac:dyDescent="0.25">
      <c r="A2" s="56" t="s">
        <v>2</v>
      </c>
      <c r="B2" s="138" t="s">
        <v>295</v>
      </c>
      <c r="C2" s="133"/>
      <c r="D2" s="56" t="s">
        <v>3</v>
      </c>
      <c r="E2" s="138" t="s">
        <v>296</v>
      </c>
      <c r="F2" s="133"/>
      <c r="G2" s="133"/>
    </row>
    <row r="3" spans="1:12" ht="14.25" customHeight="1" x14ac:dyDescent="0.25">
      <c r="A3" s="56" t="s">
        <v>4</v>
      </c>
      <c r="B3" s="138" t="s">
        <v>297</v>
      </c>
      <c r="C3" s="133"/>
      <c r="D3" s="56" t="s">
        <v>5</v>
      </c>
      <c r="E3" s="138" t="s">
        <v>298</v>
      </c>
      <c r="F3" s="133"/>
      <c r="G3" s="133"/>
    </row>
    <row r="4" spans="1:12" ht="113.25" customHeight="1" x14ac:dyDescent="0.25">
      <c r="A4" s="56" t="s">
        <v>6</v>
      </c>
      <c r="B4" s="136" t="s">
        <v>299</v>
      </c>
      <c r="C4" s="133"/>
      <c r="D4" s="133"/>
      <c r="E4" s="133"/>
      <c r="F4" s="133"/>
      <c r="G4" s="133"/>
    </row>
    <row r="5" spans="1:12" ht="14.4" x14ac:dyDescent="0.25">
      <c r="A5" s="81" t="s">
        <v>115</v>
      </c>
      <c r="B5" s="141" t="s">
        <v>300</v>
      </c>
      <c r="C5" s="133"/>
      <c r="D5" s="133"/>
      <c r="E5" s="133"/>
      <c r="F5" s="142">
        <v>0.45459999084472658</v>
      </c>
      <c r="G5" s="133"/>
    </row>
    <row r="6" spans="1:12" ht="11.25" customHeight="1" x14ac:dyDescent="0.25">
      <c r="A6" s="81" t="s">
        <v>116</v>
      </c>
      <c r="B6" s="141" t="s">
        <v>301</v>
      </c>
      <c r="C6" s="133"/>
      <c r="D6" s="133"/>
      <c r="E6" s="133"/>
      <c r="F6" s="142">
        <v>0.43880001068115232</v>
      </c>
      <c r="G6" s="133"/>
    </row>
    <row r="7" spans="1:12" ht="11.25" customHeight="1" x14ac:dyDescent="0.25">
      <c r="A7" s="81" t="s">
        <v>117</v>
      </c>
      <c r="B7" s="141" t="s">
        <v>302</v>
      </c>
      <c r="C7" s="133"/>
      <c r="D7" s="133"/>
      <c r="E7" s="133"/>
      <c r="F7" s="142">
        <v>0.10659999847412109</v>
      </c>
      <c r="G7" s="133"/>
    </row>
    <row r="8" spans="1:12" ht="11.25" customHeight="1" x14ac:dyDescent="0.25">
      <c r="A8" s="81" t="s">
        <v>118</v>
      </c>
      <c r="B8" s="141" t="s">
        <v>303</v>
      </c>
      <c r="C8" s="133"/>
      <c r="D8" s="133"/>
      <c r="E8" s="133"/>
      <c r="F8" s="142" t="s">
        <v>303</v>
      </c>
      <c r="G8" s="133"/>
    </row>
    <row r="9" spans="1:12" ht="11.25" customHeight="1" x14ac:dyDescent="0.25">
      <c r="A9" s="81" t="s">
        <v>119</v>
      </c>
      <c r="B9" s="141" t="s">
        <v>303</v>
      </c>
      <c r="C9" s="133"/>
      <c r="D9" s="133"/>
      <c r="E9" s="133"/>
      <c r="F9" s="142" t="s">
        <v>303</v>
      </c>
      <c r="G9" s="133"/>
    </row>
    <row r="11" spans="1:12" ht="14.4" customHeight="1" x14ac:dyDescent="0.25">
      <c r="A11" s="140" t="s">
        <v>120</v>
      </c>
      <c r="B11" s="133"/>
      <c r="C11" s="133"/>
      <c r="D11" s="133"/>
      <c r="E11" s="133"/>
      <c r="F11" s="133"/>
      <c r="G11" s="133"/>
      <c r="I11" s="49"/>
      <c r="J11" s="49"/>
      <c r="K11" s="49"/>
      <c r="L11" s="49"/>
    </row>
    <row r="12" spans="1:12" ht="13.5" customHeight="1" x14ac:dyDescent="0.25">
      <c r="A12" s="54" t="s">
        <v>13</v>
      </c>
      <c r="B12" s="54" t="s">
        <v>14</v>
      </c>
      <c r="C12" s="54" t="s">
        <v>15</v>
      </c>
      <c r="D12" s="54" t="s">
        <v>16</v>
      </c>
      <c r="E12" s="54" t="s">
        <v>17</v>
      </c>
      <c r="F12" s="54" t="s">
        <v>18</v>
      </c>
      <c r="G12" s="54" t="s">
        <v>19</v>
      </c>
      <c r="I12" s="47"/>
      <c r="J12" s="48"/>
      <c r="K12" s="49"/>
      <c r="L12" s="49"/>
    </row>
    <row r="13" spans="1:12" ht="14.4" customHeight="1" x14ac:dyDescent="0.25">
      <c r="A13" t="s">
        <v>121</v>
      </c>
      <c r="B13" t="s">
        <v>122</v>
      </c>
      <c r="C13" t="s">
        <v>123</v>
      </c>
      <c r="D13" s="63">
        <v>7.5</v>
      </c>
      <c r="E13" s="63">
        <v>2.9508196721311473</v>
      </c>
      <c r="F13" s="64" t="s">
        <v>25</v>
      </c>
      <c r="G13" s="63">
        <v>5</v>
      </c>
    </row>
    <row r="14" spans="1:12" ht="14.4" customHeight="1" x14ac:dyDescent="0.25">
      <c r="A14" t="s">
        <v>124</v>
      </c>
      <c r="B14" t="s">
        <v>125</v>
      </c>
      <c r="C14" t="s">
        <v>126</v>
      </c>
      <c r="D14" s="63">
        <v>6.8</v>
      </c>
      <c r="E14" s="82">
        <v>0.63287671232876708</v>
      </c>
      <c r="F14">
        <v>0</v>
      </c>
      <c r="G14" s="63">
        <v>3.5</v>
      </c>
    </row>
    <row r="15" spans="1:12" ht="14.4" customHeight="1" x14ac:dyDescent="0.25">
      <c r="A15" t="s">
        <v>127</v>
      </c>
      <c r="B15" t="s">
        <v>128</v>
      </c>
      <c r="C15" t="s">
        <v>129</v>
      </c>
      <c r="D15" s="63">
        <v>6.8</v>
      </c>
      <c r="E15" s="82">
        <v>0.61369863013698633</v>
      </c>
      <c r="F15">
        <v>0</v>
      </c>
      <c r="G15" s="63">
        <v>3.5</v>
      </c>
    </row>
    <row r="16" spans="1:12" ht="14.4" customHeight="1" x14ac:dyDescent="0.25">
      <c r="A16" t="s">
        <v>130</v>
      </c>
      <c r="B16" t="s">
        <v>131</v>
      </c>
      <c r="C16" t="s">
        <v>132</v>
      </c>
      <c r="D16" s="63">
        <v>7.2</v>
      </c>
      <c r="E16" s="82">
        <v>0.53424657534246578</v>
      </c>
      <c r="F16">
        <v>0</v>
      </c>
      <c r="G16" s="63">
        <v>3</v>
      </c>
    </row>
    <row r="17" spans="1:7" ht="14.4" customHeight="1" x14ac:dyDescent="0.25">
      <c r="A17" t="s">
        <v>133</v>
      </c>
      <c r="B17" t="s">
        <v>134</v>
      </c>
      <c r="C17" t="s">
        <v>135</v>
      </c>
      <c r="D17" s="63">
        <v>7.5</v>
      </c>
      <c r="E17" s="82">
        <v>2.7506849315068491</v>
      </c>
      <c r="F17" t="s">
        <v>25</v>
      </c>
      <c r="G17" s="63">
        <v>4</v>
      </c>
    </row>
    <row r="18" spans="1:7" ht="14.4" customHeight="1" x14ac:dyDescent="0.25">
      <c r="A18" t="s">
        <v>136</v>
      </c>
      <c r="B18" t="s">
        <v>137</v>
      </c>
      <c r="C18" t="s">
        <v>138</v>
      </c>
      <c r="D18" s="63">
        <v>7.5</v>
      </c>
      <c r="E18" s="82">
        <v>2.6438356164383561</v>
      </c>
      <c r="F18" t="s">
        <v>25</v>
      </c>
      <c r="G18" s="63">
        <v>4</v>
      </c>
    </row>
    <row r="19" spans="1:7" ht="14.4" customHeight="1" x14ac:dyDescent="0.25">
      <c r="A19" t="s">
        <v>139</v>
      </c>
      <c r="B19" t="s">
        <v>140</v>
      </c>
      <c r="C19" t="s">
        <v>141</v>
      </c>
      <c r="D19" s="63">
        <v>7.5</v>
      </c>
      <c r="E19" s="82">
        <v>2.5013698630136987</v>
      </c>
      <c r="F19" t="s">
        <v>25</v>
      </c>
      <c r="G19" s="63">
        <v>3.75</v>
      </c>
    </row>
    <row r="20" spans="1:7" ht="14.4" customHeight="1" x14ac:dyDescent="0.25">
      <c r="A20" t="s">
        <v>142</v>
      </c>
      <c r="B20" t="s">
        <v>143</v>
      </c>
      <c r="C20" t="s">
        <v>144</v>
      </c>
      <c r="D20" s="63">
        <v>7.5</v>
      </c>
      <c r="E20" s="82">
        <v>2.3561643835616439</v>
      </c>
      <c r="F20" t="s">
        <v>25</v>
      </c>
      <c r="G20" s="63">
        <v>10</v>
      </c>
    </row>
    <row r="21" spans="1:7" ht="14.4" customHeight="1" x14ac:dyDescent="0.25">
      <c r="A21" t="s">
        <v>145</v>
      </c>
      <c r="B21" t="s">
        <v>146</v>
      </c>
      <c r="C21" t="s">
        <v>147</v>
      </c>
      <c r="D21" s="63">
        <v>7</v>
      </c>
      <c r="E21" s="82">
        <v>2.2027397260273971</v>
      </c>
      <c r="F21">
        <v>0</v>
      </c>
      <c r="G21" s="63">
        <v>5</v>
      </c>
    </row>
    <row r="22" spans="1:7" ht="14.4" customHeight="1" x14ac:dyDescent="0.25">
      <c r="A22" t="s">
        <v>148</v>
      </c>
      <c r="B22" t="s">
        <v>149</v>
      </c>
      <c r="C22" t="s">
        <v>150</v>
      </c>
      <c r="D22" s="63">
        <v>7.4</v>
      </c>
      <c r="E22" s="82">
        <v>1.6082191780821917</v>
      </c>
      <c r="F22">
        <v>0</v>
      </c>
      <c r="G22" s="63">
        <v>2.2000000000000002</v>
      </c>
    </row>
    <row r="23" spans="1:7" ht="14.4" customHeight="1" x14ac:dyDescent="0.25">
      <c r="A23" t="s">
        <v>151</v>
      </c>
      <c r="B23" t="s">
        <v>152</v>
      </c>
      <c r="C23" t="s">
        <v>153</v>
      </c>
      <c r="D23" s="63">
        <v>4.7</v>
      </c>
      <c r="E23" s="82">
        <v>0</v>
      </c>
      <c r="F23" t="s">
        <v>25</v>
      </c>
      <c r="G23" s="63">
        <v>0.85</v>
      </c>
    </row>
    <row r="24" spans="1:7" ht="14.4" customHeight="1" x14ac:dyDescent="0.25">
      <c r="A24" t="s">
        <v>154</v>
      </c>
      <c r="B24" t="s">
        <v>152</v>
      </c>
      <c r="C24" t="s">
        <v>155</v>
      </c>
      <c r="D24" s="63"/>
      <c r="E24" s="82">
        <v>2.1232876712328768</v>
      </c>
      <c r="F24">
        <v>0</v>
      </c>
      <c r="G24" s="63">
        <v>0.3</v>
      </c>
    </row>
    <row r="25" spans="1:7" ht="14.4" customHeight="1" x14ac:dyDescent="0.25">
      <c r="A25" t="s">
        <v>156</v>
      </c>
      <c r="B25" t="s">
        <v>152</v>
      </c>
      <c r="C25" t="s">
        <v>157</v>
      </c>
      <c r="D25" s="63">
        <v>6.5</v>
      </c>
      <c r="E25" s="82">
        <v>1.1232876712328768</v>
      </c>
      <c r="F25" t="s">
        <v>25</v>
      </c>
      <c r="G25" s="63">
        <v>1.4</v>
      </c>
    </row>
    <row r="26" spans="1:7" ht="14.4" customHeight="1" x14ac:dyDescent="0.25">
      <c r="A26" t="s">
        <v>158</v>
      </c>
      <c r="B26" t="s">
        <v>152</v>
      </c>
      <c r="C26" t="s">
        <v>159</v>
      </c>
      <c r="D26" s="63">
        <v>5.3</v>
      </c>
      <c r="E26" s="82">
        <v>0.12328767123287671</v>
      </c>
      <c r="F26" t="s">
        <v>25</v>
      </c>
      <c r="G26" s="63">
        <v>1.25</v>
      </c>
    </row>
    <row r="27" spans="1:7" ht="14.4" customHeight="1" x14ac:dyDescent="0.25">
      <c r="A27" t="s">
        <v>160</v>
      </c>
      <c r="B27" t="s">
        <v>152</v>
      </c>
      <c r="C27" t="s">
        <v>161</v>
      </c>
      <c r="D27" s="63">
        <v>4.9000000000000004</v>
      </c>
      <c r="E27" s="82">
        <v>0</v>
      </c>
      <c r="F27" t="s">
        <v>25</v>
      </c>
      <c r="G27" s="63">
        <v>1.05</v>
      </c>
    </row>
    <row r="28" spans="1:7" ht="14.4" customHeight="1" x14ac:dyDescent="0.25">
      <c r="A28" t="s">
        <v>162</v>
      </c>
      <c r="B28" t="s">
        <v>152</v>
      </c>
      <c r="C28" t="s">
        <v>163</v>
      </c>
      <c r="D28" s="63">
        <v>6.8</v>
      </c>
      <c r="E28" s="82">
        <v>2.1232876712328768</v>
      </c>
      <c r="F28" t="s">
        <v>25</v>
      </c>
      <c r="G28" s="63">
        <v>1.45</v>
      </c>
    </row>
    <row r="29" spans="1:7" ht="14.4" customHeight="1" x14ac:dyDescent="0.25">
      <c r="A29" t="s">
        <v>164</v>
      </c>
      <c r="B29" t="s">
        <v>165</v>
      </c>
      <c r="C29" t="s">
        <v>166</v>
      </c>
      <c r="D29" s="63">
        <v>7</v>
      </c>
      <c r="E29" s="82">
        <v>0.36164383561643837</v>
      </c>
      <c r="F29" t="s">
        <v>25</v>
      </c>
      <c r="G29" s="63">
        <v>7</v>
      </c>
    </row>
    <row r="30" spans="1:7" ht="14.4" customHeight="1" x14ac:dyDescent="0.25">
      <c r="A30" t="s">
        <v>167</v>
      </c>
      <c r="B30" t="s">
        <v>168</v>
      </c>
      <c r="C30" t="s">
        <v>169</v>
      </c>
      <c r="D30" s="63">
        <v>7.8</v>
      </c>
      <c r="E30" s="82">
        <v>0.12054794520547946</v>
      </c>
      <c r="F30" t="s">
        <v>25</v>
      </c>
      <c r="G30" s="63">
        <v>3</v>
      </c>
    </row>
    <row r="31" spans="1:7" ht="14.4" customHeight="1" x14ac:dyDescent="0.25">
      <c r="A31" t="s">
        <v>170</v>
      </c>
      <c r="B31" t="s">
        <v>171</v>
      </c>
      <c r="C31" t="s">
        <v>172</v>
      </c>
      <c r="D31" s="63">
        <v>7.8</v>
      </c>
      <c r="E31" s="82">
        <v>0</v>
      </c>
      <c r="F31" t="s">
        <v>25</v>
      </c>
      <c r="G31" s="63">
        <v>10</v>
      </c>
    </row>
    <row r="32" spans="1:7" ht="14.4" customHeight="1" x14ac:dyDescent="0.25">
      <c r="A32" t="s">
        <v>173</v>
      </c>
      <c r="B32" t="s">
        <v>174</v>
      </c>
      <c r="C32" t="s">
        <v>175</v>
      </c>
      <c r="D32" s="63">
        <v>8</v>
      </c>
      <c r="E32" s="82">
        <v>0</v>
      </c>
      <c r="F32" t="s">
        <v>25</v>
      </c>
      <c r="G32" s="63">
        <v>10</v>
      </c>
    </row>
    <row r="33" spans="1:7" ht="14.4" customHeight="1" x14ac:dyDescent="0.25">
      <c r="A33" t="s">
        <v>176</v>
      </c>
      <c r="B33" t="s">
        <v>177</v>
      </c>
      <c r="C33" t="s">
        <v>178</v>
      </c>
      <c r="D33" s="63">
        <v>8</v>
      </c>
      <c r="E33" s="82">
        <v>0</v>
      </c>
      <c r="F33" t="s">
        <v>25</v>
      </c>
      <c r="G33" s="63">
        <v>10</v>
      </c>
    </row>
    <row r="34" spans="1:7" ht="14.4" customHeight="1" x14ac:dyDescent="0.25">
      <c r="D34" s="63"/>
      <c r="E34" s="82"/>
      <c r="G34" s="63"/>
    </row>
    <row r="35" spans="1:7" ht="14.4" customHeight="1" x14ac:dyDescent="0.25">
      <c r="D35" s="63"/>
      <c r="E35" s="82"/>
      <c r="G35" s="63"/>
    </row>
    <row r="36" spans="1:7" ht="14.4" customHeight="1" x14ac:dyDescent="0.25">
      <c r="D36" s="63"/>
      <c r="E36" s="82"/>
      <c r="G36" s="63"/>
    </row>
    <row r="37" spans="1:7" ht="14.4" customHeight="1" x14ac:dyDescent="0.25">
      <c r="D37" s="63"/>
      <c r="E37" s="82"/>
      <c r="G37" s="63"/>
    </row>
    <row r="38" spans="1:7" ht="14.4" customHeight="1" x14ac:dyDescent="0.25">
      <c r="D38" s="63"/>
      <c r="E38" s="82"/>
      <c r="G38" s="63"/>
    </row>
    <row r="39" spans="1:7" ht="14.4" customHeight="1" x14ac:dyDescent="0.25">
      <c r="A39" s="139" t="s">
        <v>179</v>
      </c>
      <c r="B39" s="139"/>
      <c r="C39" s="139"/>
      <c r="D39" s="139"/>
      <c r="E39" s="82"/>
      <c r="G39" s="63"/>
    </row>
    <row r="40" spans="1:7" ht="14.4" customHeight="1" x14ac:dyDescent="0.25">
      <c r="A40" s="83" t="s">
        <v>180</v>
      </c>
      <c r="B40" s="83" t="s">
        <v>181</v>
      </c>
      <c r="C40" s="83" t="s">
        <v>182</v>
      </c>
      <c r="D40" s="84" t="s">
        <v>183</v>
      </c>
      <c r="E40" s="82"/>
      <c r="G40" s="63"/>
    </row>
    <row r="41" spans="1:7" ht="14.4" customHeight="1" x14ac:dyDescent="0.25">
      <c r="A41" t="s">
        <v>184</v>
      </c>
      <c r="B41" t="s">
        <v>25</v>
      </c>
      <c r="C41" t="s">
        <v>185</v>
      </c>
      <c r="D41" s="63" t="s">
        <v>186</v>
      </c>
      <c r="E41" s="82"/>
      <c r="G41" s="63"/>
    </row>
    <row r="42" spans="1:7" ht="14.4" customHeight="1" x14ac:dyDescent="0.25">
      <c r="A42" t="s">
        <v>187</v>
      </c>
      <c r="B42" t="s">
        <v>25</v>
      </c>
      <c r="C42" t="s">
        <v>185</v>
      </c>
      <c r="D42" s="63" t="s">
        <v>186</v>
      </c>
      <c r="E42" s="82"/>
      <c r="G42" s="63"/>
    </row>
    <row r="43" spans="1:7" ht="14.4" customHeight="1" x14ac:dyDescent="0.25">
      <c r="A43" t="s">
        <v>188</v>
      </c>
      <c r="B43" t="s">
        <v>25</v>
      </c>
      <c r="C43" t="s">
        <v>185</v>
      </c>
      <c r="D43" s="63" t="s">
        <v>186</v>
      </c>
      <c r="E43" s="82"/>
      <c r="G43" s="63"/>
    </row>
    <row r="44" spans="1:7" ht="14.4" customHeight="1" x14ac:dyDescent="0.25">
      <c r="A44" t="s">
        <v>189</v>
      </c>
      <c r="B44" t="s">
        <v>25</v>
      </c>
      <c r="C44" t="s">
        <v>185</v>
      </c>
      <c r="D44" s="63" t="s">
        <v>186</v>
      </c>
      <c r="E44" s="82"/>
      <c r="G44" s="63"/>
    </row>
    <row r="45" spans="1:7" ht="14.4" customHeight="1" x14ac:dyDescent="0.25">
      <c r="A45" t="s">
        <v>190</v>
      </c>
      <c r="B45" t="s">
        <v>25</v>
      </c>
      <c r="C45" t="s">
        <v>185</v>
      </c>
      <c r="D45" s="63" t="s">
        <v>186</v>
      </c>
      <c r="E45" s="82"/>
      <c r="G45" s="63"/>
    </row>
    <row r="46" spans="1:7" ht="14.4" customHeight="1" x14ac:dyDescent="0.25">
      <c r="A46" t="s">
        <v>191</v>
      </c>
      <c r="B46" t="s">
        <v>25</v>
      </c>
      <c r="C46" t="s">
        <v>185</v>
      </c>
      <c r="D46" s="63" t="s">
        <v>186</v>
      </c>
      <c r="E46" s="82"/>
      <c r="G46" s="63"/>
    </row>
    <row r="47" spans="1:7" ht="14.4" customHeight="1" x14ac:dyDescent="0.25">
      <c r="A47" t="s">
        <v>192</v>
      </c>
      <c r="B47" t="s">
        <v>25</v>
      </c>
      <c r="C47" t="s">
        <v>185</v>
      </c>
      <c r="D47" s="63" t="s">
        <v>193</v>
      </c>
      <c r="E47" s="82"/>
      <c r="G47" s="63"/>
    </row>
    <row r="48" spans="1:7" ht="14.4" customHeight="1" x14ac:dyDescent="0.25">
      <c r="A48" t="s">
        <v>194</v>
      </c>
      <c r="B48" t="s">
        <v>25</v>
      </c>
      <c r="C48" t="s">
        <v>185</v>
      </c>
      <c r="D48" s="63" t="s">
        <v>193</v>
      </c>
      <c r="E48" s="82"/>
      <c r="G48" s="63"/>
    </row>
    <row r="49" spans="1:7" ht="14.4" customHeight="1" x14ac:dyDescent="0.25">
      <c r="A49" t="s">
        <v>195</v>
      </c>
      <c r="B49" t="s">
        <v>196</v>
      </c>
      <c r="C49" t="s">
        <v>185</v>
      </c>
      <c r="D49" s="63" t="s">
        <v>193</v>
      </c>
      <c r="E49" s="82"/>
      <c r="G49" s="63"/>
    </row>
    <row r="50" spans="1:7" ht="14.4" customHeight="1" x14ac:dyDescent="0.25">
      <c r="A50" t="s">
        <v>197</v>
      </c>
      <c r="B50" t="s">
        <v>196</v>
      </c>
      <c r="C50" t="s">
        <v>185</v>
      </c>
      <c r="D50" s="63" t="s">
        <v>193</v>
      </c>
      <c r="E50" s="82"/>
      <c r="G50" s="63"/>
    </row>
    <row r="51" spans="1:7" ht="14.4" customHeight="1" x14ac:dyDescent="0.25">
      <c r="A51" t="s">
        <v>198</v>
      </c>
      <c r="B51" t="s">
        <v>196</v>
      </c>
      <c r="C51" t="s">
        <v>185</v>
      </c>
      <c r="D51" s="63" t="s">
        <v>193</v>
      </c>
      <c r="E51" s="82"/>
      <c r="G51" s="63"/>
    </row>
    <row r="52" spans="1:7" ht="14.4" customHeight="1" x14ac:dyDescent="0.25">
      <c r="D52" s="63"/>
      <c r="E52" s="82"/>
      <c r="G52" s="63"/>
    </row>
    <row r="53" spans="1:7" ht="14.4" customHeight="1" x14ac:dyDescent="0.25">
      <c r="D53" s="63"/>
      <c r="E53" s="82"/>
      <c r="G53" s="63"/>
    </row>
    <row r="54" spans="1:7" ht="14.4" customHeight="1" x14ac:dyDescent="0.25">
      <c r="D54" s="63"/>
      <c r="E54" s="82"/>
      <c r="G54" s="63"/>
    </row>
    <row r="55" spans="1:7" ht="14.4" customHeight="1" x14ac:dyDescent="0.25">
      <c r="D55" s="63"/>
      <c r="E55" s="82"/>
      <c r="G55" s="63"/>
    </row>
    <row r="56" spans="1:7" ht="14.4" customHeight="1" x14ac:dyDescent="0.25">
      <c r="D56" s="63"/>
      <c r="E56" s="82"/>
      <c r="G56" s="63"/>
    </row>
    <row r="57" spans="1:7" ht="14.4" customHeight="1" x14ac:dyDescent="0.25">
      <c r="D57" s="63"/>
      <c r="E57" s="82"/>
      <c r="G57" s="63"/>
    </row>
    <row r="58" spans="1:7" ht="14.4" customHeight="1" x14ac:dyDescent="0.25">
      <c r="D58" s="63"/>
      <c r="E58" s="82"/>
      <c r="G58" s="63"/>
    </row>
    <row r="59" spans="1:7" ht="14.4" customHeight="1" x14ac:dyDescent="0.25">
      <c r="D59" s="63"/>
      <c r="E59" s="82"/>
      <c r="G59" s="63"/>
    </row>
    <row r="60" spans="1:7" ht="14.4" customHeight="1" x14ac:dyDescent="0.25">
      <c r="D60" s="63"/>
      <c r="E60" s="82"/>
      <c r="G60" s="63"/>
    </row>
    <row r="61" spans="1:7" ht="14.4" customHeight="1" x14ac:dyDescent="0.25">
      <c r="D61" s="63"/>
      <c r="E61" s="82"/>
      <c r="G61" s="63"/>
    </row>
    <row r="62" spans="1:7" ht="14.4" customHeight="1" x14ac:dyDescent="0.25">
      <c r="D62" s="63"/>
      <c r="E62" s="82"/>
      <c r="G62" s="63"/>
    </row>
    <row r="63" spans="1:7" ht="14.4" customHeight="1" x14ac:dyDescent="0.25">
      <c r="D63" s="63"/>
      <c r="E63" s="82"/>
      <c r="G63" s="63"/>
    </row>
    <row r="64" spans="1:7" ht="14.4" customHeight="1" x14ac:dyDescent="0.25">
      <c r="D64" s="63"/>
      <c r="E64" s="82"/>
      <c r="G64" s="63"/>
    </row>
    <row r="65" spans="1:7" ht="14.4" customHeight="1" x14ac:dyDescent="0.25">
      <c r="D65" s="63"/>
      <c r="E65" s="82"/>
      <c r="G65" s="63"/>
    </row>
    <row r="66" spans="1:7" ht="14.4" customHeight="1" x14ac:dyDescent="0.25">
      <c r="D66" s="63"/>
      <c r="E66" s="82"/>
      <c r="G66" s="63"/>
    </row>
    <row r="67" spans="1:7" ht="14.4" customHeight="1" x14ac:dyDescent="0.25">
      <c r="D67" s="63"/>
      <c r="E67" s="82"/>
      <c r="G67" s="63"/>
    </row>
    <row r="68" spans="1:7" ht="14.4" customHeight="1" x14ac:dyDescent="0.25">
      <c r="D68" s="63"/>
      <c r="E68" s="82"/>
      <c r="G68" s="63"/>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199</v>
      </c>
      <c r="D72" s="63"/>
      <c r="E72" s="82"/>
      <c r="G72" s="63"/>
    </row>
    <row r="73" spans="1:7" ht="14.4" customHeight="1" x14ac:dyDescent="0.25">
      <c r="D73" s="63"/>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1:G1"/>
    <mergeCell ref="B2:C2"/>
    <mergeCell ref="E2:G2"/>
    <mergeCell ref="B3:C3"/>
    <mergeCell ref="E3:G3"/>
    <mergeCell ref="B4:G4"/>
    <mergeCell ref="B5:E5"/>
    <mergeCell ref="F5:G5"/>
    <mergeCell ref="B6:E6"/>
    <mergeCell ref="F6:G6"/>
    <mergeCell ref="A39:D39"/>
    <mergeCell ref="A11:G11"/>
    <mergeCell ref="B7:E7"/>
    <mergeCell ref="F7:G7"/>
    <mergeCell ref="B8:E8"/>
    <mergeCell ref="F8:G8"/>
    <mergeCell ref="B9:E9"/>
    <mergeCell ref="F9:G9"/>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activeCell="D7" sqref="D7"/>
    </sheetView>
  </sheetViews>
  <sheetFormatPr defaultColWidth="8.88671875" defaultRowHeight="14.4" x14ac:dyDescent="0.25"/>
  <cols>
    <col min="1" max="1" width="18.109375" style="55" customWidth="1"/>
    <col min="2" max="2" width="12.109375" style="55" customWidth="1"/>
    <col min="3" max="3" width="13.44140625" style="55" customWidth="1"/>
    <col min="4" max="4" width="10.6640625" style="55" customWidth="1"/>
    <col min="5" max="5" width="13.109375" style="55" customWidth="1"/>
    <col min="6" max="6" width="9.44140625" style="55" customWidth="1"/>
    <col min="7" max="7" width="10.6640625" style="55" customWidth="1"/>
    <col min="8" max="8" width="9.6640625" style="55" customWidth="1"/>
    <col min="9" max="9" width="8.109375" style="55" customWidth="1"/>
    <col min="10" max="10" width="8.33203125" style="55" customWidth="1"/>
  </cols>
  <sheetData>
    <row r="1" spans="1:10" ht="14.25" customHeight="1" x14ac:dyDescent="0.25">
      <c r="A1" s="146" t="s">
        <v>54</v>
      </c>
      <c r="B1" s="133"/>
      <c r="C1" s="133"/>
      <c r="D1" s="133"/>
      <c r="E1" s="133"/>
      <c r="F1" s="133"/>
      <c r="G1" s="133"/>
      <c r="H1" s="133"/>
      <c r="I1" s="133"/>
      <c r="J1" s="133"/>
    </row>
    <row r="2" spans="1:10" x14ac:dyDescent="0.25">
      <c r="A2" s="140" t="s">
        <v>55</v>
      </c>
      <c r="B2" s="133"/>
      <c r="C2" s="133"/>
      <c r="D2" s="133"/>
      <c r="E2" s="133"/>
      <c r="F2" s="133"/>
      <c r="G2" s="148">
        <v>2017</v>
      </c>
      <c r="H2" s="133"/>
      <c r="I2" s="133"/>
      <c r="J2" s="133"/>
    </row>
    <row r="3" spans="1:10" ht="12.75" customHeight="1" x14ac:dyDescent="0.25">
      <c r="A3" s="140" t="s">
        <v>56</v>
      </c>
      <c r="B3" s="133"/>
      <c r="C3" s="140" t="s">
        <v>57</v>
      </c>
      <c r="D3" s="133"/>
      <c r="E3" s="140" t="s">
        <v>58</v>
      </c>
      <c r="F3" s="133"/>
      <c r="G3" s="140" t="s">
        <v>59</v>
      </c>
      <c r="H3" s="133"/>
      <c r="I3" s="140" t="s">
        <v>60</v>
      </c>
      <c r="J3" s="133"/>
    </row>
    <row r="4" spans="1:10" ht="21.6" customHeight="1" x14ac:dyDescent="0.25">
      <c r="A4" s="56" t="s">
        <v>61</v>
      </c>
      <c r="B4" s="85">
        <v>0.84033400000000003</v>
      </c>
      <c r="C4" s="56" t="s">
        <v>36</v>
      </c>
      <c r="D4" s="86">
        <v>1.6501999999999999</v>
      </c>
      <c r="E4" s="56" t="s">
        <v>41</v>
      </c>
      <c r="F4" s="85">
        <v>1.429</v>
      </c>
      <c r="G4" s="56" t="s">
        <v>42</v>
      </c>
      <c r="H4" s="85">
        <v>0.16848600000000002</v>
      </c>
      <c r="I4" s="56"/>
      <c r="J4" s="87"/>
    </row>
    <row r="5" spans="1:10" ht="15.75" customHeight="1" x14ac:dyDescent="0.25">
      <c r="A5" s="56" t="s">
        <v>62</v>
      </c>
      <c r="B5" s="85">
        <v>0.88591300000000006</v>
      </c>
      <c r="C5" s="56" t="s">
        <v>63</v>
      </c>
      <c r="D5" s="86">
        <v>0.6472</v>
      </c>
      <c r="E5" s="56" t="s">
        <v>64</v>
      </c>
      <c r="F5" s="86">
        <v>26.526299999999999</v>
      </c>
      <c r="G5" s="56" t="s">
        <v>65</v>
      </c>
      <c r="H5" s="85">
        <v>7.0376999999999995E-2</v>
      </c>
      <c r="I5" s="56"/>
      <c r="J5" s="87"/>
    </row>
    <row r="6" spans="1:10" ht="15" customHeight="1" x14ac:dyDescent="0.25">
      <c r="A6" s="56" t="s">
        <v>66</v>
      </c>
      <c r="B6" s="85">
        <v>0.63886799999999999</v>
      </c>
      <c r="C6" s="56" t="s">
        <v>39</v>
      </c>
      <c r="D6" s="88">
        <v>2.7699999999999999E-2</v>
      </c>
      <c r="E6" s="56" t="s">
        <v>67</v>
      </c>
      <c r="F6" s="86">
        <v>0.46820000000000001</v>
      </c>
      <c r="G6" s="56" t="s">
        <v>45</v>
      </c>
      <c r="H6" s="85">
        <v>0.14113100000000001</v>
      </c>
      <c r="I6" s="56"/>
      <c r="J6" s="87"/>
    </row>
    <row r="7" spans="1:10" ht="14.25" customHeight="1" x14ac:dyDescent="0.25">
      <c r="A7" s="56" t="s">
        <v>38</v>
      </c>
      <c r="B7" s="88">
        <v>3.2355180446270735</v>
      </c>
      <c r="C7" s="56" t="s">
        <v>68</v>
      </c>
      <c r="D7" s="88">
        <v>6.1528</v>
      </c>
      <c r="E7" s="56" t="s">
        <v>69</v>
      </c>
      <c r="F7" s="86">
        <v>0.34089999999999998</v>
      </c>
      <c r="G7" s="56" t="s">
        <v>70</v>
      </c>
      <c r="H7" s="85">
        <v>2.8997999999999999E-2</v>
      </c>
      <c r="I7" s="56"/>
      <c r="J7" s="87"/>
    </row>
    <row r="8" spans="1:10" x14ac:dyDescent="0.25">
      <c r="A8" s="56"/>
      <c r="B8" s="89"/>
      <c r="C8" s="56"/>
      <c r="D8" s="90"/>
      <c r="E8" s="56" t="s">
        <v>71</v>
      </c>
      <c r="F8" s="86">
        <v>0.30769999999999997</v>
      </c>
      <c r="G8" s="56"/>
      <c r="H8" s="89"/>
      <c r="I8" s="56"/>
      <c r="J8" s="89"/>
    </row>
    <row r="9" spans="1:10" ht="13.5" customHeight="1" x14ac:dyDescent="0.25">
      <c r="A9" s="146" t="s">
        <v>72</v>
      </c>
      <c r="B9" s="133"/>
      <c r="C9" s="133"/>
      <c r="D9" s="133"/>
      <c r="E9" s="133"/>
      <c r="F9" s="133"/>
      <c r="G9" s="133"/>
      <c r="H9" s="133"/>
      <c r="I9" s="133"/>
      <c r="J9" s="133"/>
    </row>
    <row r="10" spans="1:10" ht="13.5" customHeight="1" x14ac:dyDescent="0.25">
      <c r="A10" s="140" t="s">
        <v>73</v>
      </c>
      <c r="B10" s="133"/>
      <c r="C10" s="133"/>
      <c r="D10" s="133"/>
      <c r="E10" s="133"/>
      <c r="F10" s="133"/>
      <c r="G10" s="147">
        <v>2017</v>
      </c>
      <c r="H10" s="133"/>
      <c r="I10" s="133"/>
      <c r="J10" s="133"/>
    </row>
    <row r="11" spans="1:10" x14ac:dyDescent="0.25">
      <c r="A11" s="140" t="s">
        <v>74</v>
      </c>
      <c r="B11" s="133"/>
      <c r="C11" s="140" t="s">
        <v>75</v>
      </c>
      <c r="D11" s="133"/>
      <c r="E11" s="140" t="s">
        <v>76</v>
      </c>
      <c r="F11" s="133"/>
      <c r="G11" s="133"/>
      <c r="H11" s="133"/>
      <c r="I11" s="133"/>
      <c r="J11" s="133"/>
    </row>
    <row r="12" spans="1:10" ht="14.25" customHeight="1" x14ac:dyDescent="0.25">
      <c r="A12" s="56" t="s">
        <v>77</v>
      </c>
      <c r="B12" s="91">
        <v>402.5952413064</v>
      </c>
      <c r="C12" s="56" t="s">
        <v>78</v>
      </c>
      <c r="D12" s="88">
        <v>585.42970091559994</v>
      </c>
      <c r="E12" s="144" t="s">
        <v>79</v>
      </c>
      <c r="F12" s="133"/>
      <c r="G12" s="133"/>
      <c r="H12" s="145">
        <v>836.56910895539988</v>
      </c>
      <c r="I12" s="133"/>
      <c r="J12" s="133"/>
    </row>
    <row r="13" spans="1:10" ht="14.25" customHeight="1" x14ac:dyDescent="0.25">
      <c r="A13" s="56" t="s">
        <v>80</v>
      </c>
      <c r="B13" s="91">
        <v>35.504803180000003</v>
      </c>
      <c r="C13" s="56" t="s">
        <v>81</v>
      </c>
      <c r="D13" s="88">
        <v>552.99609163030004</v>
      </c>
      <c r="E13" s="144" t="s">
        <v>82</v>
      </c>
      <c r="F13" s="133"/>
      <c r="G13" s="133"/>
      <c r="H13" s="145">
        <v>213.55455939839999</v>
      </c>
      <c r="I13" s="133"/>
      <c r="J13" s="133"/>
    </row>
    <row r="14" spans="1:10" ht="14.25" customHeight="1" x14ac:dyDescent="0.25">
      <c r="A14" s="56" t="s">
        <v>83</v>
      </c>
      <c r="B14" s="91">
        <v>250.2310240777</v>
      </c>
      <c r="C14" s="56" t="s">
        <v>84</v>
      </c>
      <c r="D14" s="88">
        <v>486.79320346989999</v>
      </c>
      <c r="E14" s="144" t="s">
        <v>85</v>
      </c>
      <c r="F14" s="133"/>
      <c r="G14" s="133"/>
      <c r="H14" s="145">
        <v>1050.9121507464999</v>
      </c>
      <c r="I14" s="133"/>
      <c r="J14" s="133"/>
    </row>
    <row r="15" spans="1:10" ht="14.25" customHeight="1" x14ac:dyDescent="0.25">
      <c r="A15" s="56" t="s">
        <v>86</v>
      </c>
      <c r="B15" s="91">
        <v>55.175550850299999</v>
      </c>
      <c r="C15" s="56" t="s">
        <v>87</v>
      </c>
      <c r="D15" s="88">
        <v>10.7508787522</v>
      </c>
      <c r="E15" s="144" t="s">
        <v>88</v>
      </c>
      <c r="F15" s="133"/>
      <c r="G15" s="133"/>
      <c r="H15" s="145">
        <v>573.34385593859997</v>
      </c>
      <c r="I15" s="133"/>
      <c r="J15" s="133"/>
    </row>
    <row r="16" spans="1:10" ht="14.25" customHeight="1" x14ac:dyDescent="0.25">
      <c r="A16" s="56" t="s">
        <v>89</v>
      </c>
      <c r="B16" s="91">
        <v>1.3040699688999999</v>
      </c>
      <c r="C16" s="56" t="s">
        <v>90</v>
      </c>
      <c r="D16" s="88">
        <v>19.000864478499999</v>
      </c>
      <c r="E16" s="144" t="s">
        <v>91</v>
      </c>
      <c r="F16" s="133"/>
      <c r="G16" s="133"/>
      <c r="H16" s="145">
        <v>293.73621886889998</v>
      </c>
      <c r="I16" s="133"/>
      <c r="J16" s="133"/>
    </row>
    <row r="17" spans="1:10" ht="14.25" customHeight="1" x14ac:dyDescent="0.25">
      <c r="A17" s="56" t="s">
        <v>92</v>
      </c>
      <c r="B17" s="91">
        <v>21.957815618600002</v>
      </c>
      <c r="C17" s="56" t="s">
        <v>93</v>
      </c>
      <c r="D17" s="88">
        <v>8.2798405983999999</v>
      </c>
      <c r="E17" s="144" t="s">
        <v>94</v>
      </c>
      <c r="F17" s="133"/>
      <c r="G17" s="133"/>
      <c r="H17" s="145">
        <v>939.57320012859998</v>
      </c>
      <c r="I17" s="133"/>
      <c r="J17" s="133"/>
    </row>
    <row r="18" spans="1:10" ht="14.25" customHeight="1" x14ac:dyDescent="0.25">
      <c r="A18" s="56" t="s">
        <v>95</v>
      </c>
      <c r="B18" s="91">
        <v>2473.8364228869</v>
      </c>
      <c r="C18" s="56" t="s">
        <v>96</v>
      </c>
      <c r="D18" s="88">
        <v>41.200975268400001</v>
      </c>
      <c r="E18" s="144" t="s">
        <v>97</v>
      </c>
      <c r="F18" s="133"/>
      <c r="G18" s="133"/>
      <c r="H18" s="145">
        <v>111.33895061790001</v>
      </c>
      <c r="I18" s="133"/>
      <c r="J18" s="133"/>
    </row>
    <row r="19" spans="1:10" ht="14.25" customHeight="1" x14ac:dyDescent="0.25">
      <c r="A19" s="56" t="s">
        <v>98</v>
      </c>
      <c r="B19" s="91">
        <v>200.69079300200002</v>
      </c>
      <c r="C19" s="56" t="s">
        <v>99</v>
      </c>
      <c r="D19" s="88">
        <v>46.208202439499999</v>
      </c>
      <c r="E19" s="144" t="s">
        <v>100</v>
      </c>
      <c r="F19" s="133"/>
      <c r="G19" s="133"/>
      <c r="H19" s="145">
        <v>-395.67018520390002</v>
      </c>
      <c r="I19" s="133"/>
      <c r="J19" s="133"/>
    </row>
    <row r="20" spans="1:10" ht="27" customHeight="1" x14ac:dyDescent="0.25">
      <c r="A20" s="56" t="s">
        <v>101</v>
      </c>
      <c r="B20" s="91">
        <v>327.58460947729998</v>
      </c>
      <c r="C20" s="56" t="s">
        <v>43</v>
      </c>
      <c r="D20" s="88">
        <v>31.649124630599999</v>
      </c>
      <c r="E20" s="144" t="s">
        <v>102</v>
      </c>
      <c r="F20" s="133"/>
      <c r="G20" s="133"/>
      <c r="H20" s="145">
        <v>78.130483440000006</v>
      </c>
      <c r="I20" s="133"/>
      <c r="J20" s="133"/>
    </row>
    <row r="21" spans="1:10" ht="16.5" customHeight="1" x14ac:dyDescent="0.25">
      <c r="A21" s="56" t="s">
        <v>103</v>
      </c>
      <c r="B21" s="91">
        <v>0</v>
      </c>
      <c r="C21" s="56"/>
      <c r="D21" s="92"/>
      <c r="E21" s="144" t="s">
        <v>104</v>
      </c>
      <c r="F21" s="133"/>
      <c r="G21" s="133"/>
      <c r="H21" s="145">
        <v>856.59329167020007</v>
      </c>
      <c r="I21" s="133"/>
      <c r="J21" s="133"/>
    </row>
    <row r="22" spans="1:10" ht="14.25" customHeight="1" x14ac:dyDescent="0.25">
      <c r="A22" s="56" t="s">
        <v>105</v>
      </c>
      <c r="B22" s="91">
        <v>602.649530669</v>
      </c>
      <c r="C22" s="56"/>
      <c r="D22" s="92"/>
      <c r="E22" s="144" t="s">
        <v>106</v>
      </c>
      <c r="F22" s="133"/>
      <c r="G22" s="133"/>
      <c r="H22" s="145">
        <v>124.63022181700001</v>
      </c>
      <c r="I22" s="133"/>
      <c r="J22" s="133"/>
    </row>
    <row r="23" spans="1:10" ht="14.25" customHeight="1" x14ac:dyDescent="0.25">
      <c r="A23" s="56" t="s">
        <v>107</v>
      </c>
      <c r="B23" s="91">
        <v>136.8401456995</v>
      </c>
      <c r="C23" s="56"/>
      <c r="D23" s="92"/>
      <c r="E23" s="144" t="s">
        <v>108</v>
      </c>
      <c r="F23" s="133"/>
      <c r="G23" s="133"/>
      <c r="H23" s="145">
        <v>1069.304730481</v>
      </c>
      <c r="I23" s="133"/>
      <c r="J23" s="133"/>
    </row>
    <row r="24" spans="1:10" ht="14.25" customHeight="1" x14ac:dyDescent="0.25">
      <c r="A24" s="56" t="s">
        <v>109</v>
      </c>
      <c r="B24" s="91">
        <v>2078.8488205208</v>
      </c>
      <c r="C24" s="93"/>
      <c r="D24" s="90"/>
      <c r="E24" s="144" t="s">
        <v>110</v>
      </c>
      <c r="F24" s="133"/>
      <c r="G24" s="133"/>
      <c r="H24" s="145">
        <v>492.46877029550001</v>
      </c>
      <c r="I24" s="133"/>
      <c r="J24" s="133"/>
    </row>
    <row r="25" spans="1:10" ht="14.25" customHeight="1" x14ac:dyDescent="0.25">
      <c r="A25" s="56" t="s">
        <v>111</v>
      </c>
      <c r="B25" s="91">
        <v>394.98760236610002</v>
      </c>
      <c r="C25" s="93"/>
      <c r="D25" s="90"/>
      <c r="E25" s="144" t="s">
        <v>112</v>
      </c>
      <c r="F25" s="133"/>
      <c r="G25" s="133"/>
      <c r="H25" s="145">
        <v>607.23025725550008</v>
      </c>
      <c r="I25" s="133"/>
      <c r="J25" s="133"/>
    </row>
    <row r="26" spans="1:10" ht="14.25" customHeight="1" x14ac:dyDescent="0.25">
      <c r="A26" s="94" t="s">
        <v>113</v>
      </c>
      <c r="B26" s="91">
        <v>2473.8364228869</v>
      </c>
      <c r="C26" s="93"/>
      <c r="D26" s="90"/>
      <c r="E26" s="144" t="s">
        <v>114</v>
      </c>
      <c r="F26" s="133"/>
      <c r="G26" s="133"/>
      <c r="H26" s="145">
        <v>462.07447322550001</v>
      </c>
      <c r="I26" s="133"/>
      <c r="J26" s="133"/>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A1:J1"/>
    <mergeCell ref="A2:F2"/>
    <mergeCell ref="G2:J2"/>
    <mergeCell ref="A3:B3"/>
    <mergeCell ref="C3:D3"/>
    <mergeCell ref="E3:F3"/>
    <mergeCell ref="G3:H3"/>
    <mergeCell ref="I3:J3"/>
    <mergeCell ref="A9:J9"/>
    <mergeCell ref="A10:F10"/>
    <mergeCell ref="G10:J10"/>
    <mergeCell ref="A11:B11"/>
    <mergeCell ref="C11:D11"/>
    <mergeCell ref="E11:J11"/>
    <mergeCell ref="E12:G12"/>
    <mergeCell ref="H12:J12"/>
    <mergeCell ref="E13:G13"/>
    <mergeCell ref="H13:J13"/>
    <mergeCell ref="E14:G14"/>
    <mergeCell ref="H14:J14"/>
    <mergeCell ref="E15:G15"/>
    <mergeCell ref="H15:J15"/>
    <mergeCell ref="E16:G16"/>
    <mergeCell ref="H16:J16"/>
    <mergeCell ref="E17:G17"/>
    <mergeCell ref="H17:J17"/>
    <mergeCell ref="E18:G18"/>
    <mergeCell ref="H18:J18"/>
    <mergeCell ref="E19:G19"/>
    <mergeCell ref="H19:J19"/>
    <mergeCell ref="E20:G20"/>
    <mergeCell ref="H20:J20"/>
    <mergeCell ref="E21:G21"/>
    <mergeCell ref="H21:J21"/>
    <mergeCell ref="E22:G22"/>
    <mergeCell ref="H22:J22"/>
    <mergeCell ref="E23:G23"/>
    <mergeCell ref="H23:J23"/>
    <mergeCell ref="E24:G24"/>
    <mergeCell ref="H24:J24"/>
    <mergeCell ref="E25:G25"/>
    <mergeCell ref="H25:J25"/>
    <mergeCell ref="E26:G26"/>
    <mergeCell ref="H26:J26"/>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workbookViewId="0">
      <selection activeCell="C12" sqref="C12"/>
    </sheetView>
  </sheetViews>
  <sheetFormatPr defaultColWidth="8.88671875" defaultRowHeight="14.4" x14ac:dyDescent="0.25"/>
  <cols>
    <col min="1" max="1" width="14.6640625" style="55" customWidth="1"/>
    <col min="2" max="2" width="9.6640625" style="55" customWidth="1"/>
    <col min="3" max="3" width="9.88671875" style="55" customWidth="1"/>
    <col min="4" max="4" width="10.6640625" style="55" customWidth="1"/>
    <col min="5" max="5" width="10.88671875" style="55" customWidth="1"/>
    <col min="6" max="6" width="10.109375" style="55" customWidth="1"/>
    <col min="7" max="7" width="10.77734375" style="55" customWidth="1"/>
    <col min="8" max="8" width="13.109375" style="55" customWidth="1"/>
    <col min="9" max="10" width="12.21875" style="55" customWidth="1"/>
  </cols>
  <sheetData>
    <row r="1" spans="1:10" x14ac:dyDescent="0.25">
      <c r="A1" s="127" t="s">
        <v>200</v>
      </c>
      <c r="B1" s="118"/>
      <c r="C1" s="118"/>
      <c r="D1" s="118"/>
      <c r="E1" s="118"/>
      <c r="F1" s="118"/>
      <c r="G1" s="118"/>
      <c r="H1" s="118"/>
      <c r="I1" s="118"/>
    </row>
    <row r="2" spans="1:10" ht="46.5" customHeight="1" x14ac:dyDescent="0.25">
      <c r="A2" s="53" t="s">
        <v>22</v>
      </c>
      <c r="B2" s="43" t="s">
        <v>295</v>
      </c>
      <c r="C2" s="43" t="s">
        <v>201</v>
      </c>
      <c r="D2" s="43" t="s">
        <v>227</v>
      </c>
      <c r="E2" s="43" t="s">
        <v>304</v>
      </c>
      <c r="F2" s="43" t="s">
        <v>305</v>
      </c>
      <c r="G2" s="43" t="s">
        <v>306</v>
      </c>
      <c r="H2" s="43" t="s">
        <v>213</v>
      </c>
      <c r="I2" s="43" t="s">
        <v>307</v>
      </c>
      <c r="J2" s="43" t="s">
        <v>307</v>
      </c>
    </row>
    <row r="3" spans="1:10" x14ac:dyDescent="0.25">
      <c r="A3" s="53" t="s">
        <v>24</v>
      </c>
      <c r="B3" s="96" t="s">
        <v>25</v>
      </c>
      <c r="C3" s="97" t="s">
        <v>202</v>
      </c>
      <c r="D3" s="96" t="s">
        <v>25</v>
      </c>
      <c r="E3" s="96" t="s">
        <v>25</v>
      </c>
      <c r="F3" s="96" t="s">
        <v>25</v>
      </c>
      <c r="G3" s="96" t="s">
        <v>25</v>
      </c>
      <c r="H3" s="96" t="s">
        <v>25</v>
      </c>
      <c r="I3" s="96" t="s">
        <v>25</v>
      </c>
      <c r="J3" s="96" t="s">
        <v>25</v>
      </c>
    </row>
    <row r="4" spans="1:10" s="7" customFormat="1" ht="21.6" x14ac:dyDescent="0.25">
      <c r="A4" s="9" t="s">
        <v>3</v>
      </c>
      <c r="B4" s="98" t="s">
        <v>296</v>
      </c>
      <c r="C4" s="97" t="s">
        <v>202</v>
      </c>
      <c r="D4" s="98" t="s">
        <v>308</v>
      </c>
      <c r="E4" s="98" t="s">
        <v>308</v>
      </c>
      <c r="F4" s="98" t="s">
        <v>308</v>
      </c>
      <c r="G4" s="98" t="s">
        <v>309</v>
      </c>
      <c r="H4" s="98" t="s">
        <v>308</v>
      </c>
      <c r="I4" s="98" t="s">
        <v>308</v>
      </c>
      <c r="J4" s="98" t="s">
        <v>308</v>
      </c>
    </row>
    <row r="5" spans="1:10" s="7" customFormat="1" x14ac:dyDescent="0.25">
      <c r="A5" s="9" t="s">
        <v>29</v>
      </c>
      <c r="B5" s="99" t="s">
        <v>30</v>
      </c>
      <c r="C5" s="97" t="s">
        <v>202</v>
      </c>
      <c r="D5" s="99" t="s">
        <v>30</v>
      </c>
      <c r="E5" s="99" t="s">
        <v>30</v>
      </c>
      <c r="F5" s="99" t="s">
        <v>30</v>
      </c>
      <c r="G5" s="99" t="s">
        <v>30</v>
      </c>
      <c r="H5" s="99" t="s">
        <v>30</v>
      </c>
      <c r="I5" s="99" t="s">
        <v>30</v>
      </c>
      <c r="J5" s="99" t="s">
        <v>30</v>
      </c>
    </row>
    <row r="6" spans="1:10" x14ac:dyDescent="0.25">
      <c r="A6" s="53" t="s">
        <v>32</v>
      </c>
      <c r="B6" s="100">
        <v>2473.8364228869</v>
      </c>
      <c r="C6" s="97">
        <v>589.1281275530572</v>
      </c>
      <c r="D6" s="100">
        <v>541.54492234580005</v>
      </c>
      <c r="E6" s="100">
        <v>173.25785611959998</v>
      </c>
      <c r="F6" s="100">
        <v>209.4033104916</v>
      </c>
      <c r="G6" s="100">
        <v>112.89700585290001</v>
      </c>
      <c r="H6" s="100">
        <v>278.58339497869997</v>
      </c>
      <c r="I6" s="100">
        <v>1404.1052015414002</v>
      </c>
      <c r="J6" s="100">
        <v>1404.1052015414002</v>
      </c>
    </row>
    <row r="7" spans="1:10" x14ac:dyDescent="0.25">
      <c r="A7" s="53" t="s">
        <v>34</v>
      </c>
      <c r="B7" s="44">
        <v>0.84033400000000003</v>
      </c>
      <c r="C7" s="97">
        <v>0.66457399999999989</v>
      </c>
      <c r="D7" s="44">
        <v>0.79915099999999994</v>
      </c>
      <c r="E7" s="44">
        <v>0.77883599999999997</v>
      </c>
      <c r="F7" s="44">
        <v>0.58184999999999998</v>
      </c>
      <c r="G7" s="44">
        <v>0.42721800000000004</v>
      </c>
      <c r="H7" s="44">
        <v>0.81681700000000002</v>
      </c>
      <c r="I7" s="44">
        <v>0.62407299999999999</v>
      </c>
      <c r="J7" s="44">
        <v>0.62407299999999999</v>
      </c>
    </row>
    <row r="8" spans="1:10" x14ac:dyDescent="0.25">
      <c r="A8" s="53" t="s">
        <v>36</v>
      </c>
      <c r="B8" s="100">
        <v>1.6501999999999999</v>
      </c>
      <c r="C8" s="97">
        <v>1.4926142857142857</v>
      </c>
      <c r="D8" s="100">
        <v>1.7016</v>
      </c>
      <c r="E8" s="100">
        <v>1.6557999999999999</v>
      </c>
      <c r="F8" s="100">
        <v>1.1955</v>
      </c>
      <c r="G8" s="100">
        <v>0.35949999999999999</v>
      </c>
      <c r="H8" s="100">
        <v>1.5146999999999999</v>
      </c>
      <c r="I8" s="100">
        <v>2.0106000000000002</v>
      </c>
      <c r="J8" s="100">
        <v>2.0106000000000002</v>
      </c>
    </row>
    <row r="9" spans="1:10" x14ac:dyDescent="0.25">
      <c r="A9" s="53" t="s">
        <v>38</v>
      </c>
      <c r="B9" s="96">
        <v>3.2355180446270735</v>
      </c>
      <c r="C9" s="97">
        <v>1.3061820787786229</v>
      </c>
      <c r="D9" s="96">
        <v>2.0300192051901007</v>
      </c>
      <c r="E9" s="96">
        <v>2.1667596838530345</v>
      </c>
      <c r="F9" s="96">
        <v>0.80576391969350958</v>
      </c>
      <c r="G9" s="96">
        <v>0.24608213015546976</v>
      </c>
      <c r="H9" s="96">
        <v>1.6199159253370381</v>
      </c>
      <c r="I9" s="96">
        <v>1.1373668436106041</v>
      </c>
      <c r="J9" s="96">
        <v>1.1373668436106041</v>
      </c>
    </row>
    <row r="10" spans="1:10" ht="21.6" customHeight="1" x14ac:dyDescent="0.25">
      <c r="A10" s="53" t="s">
        <v>39</v>
      </c>
      <c r="B10" s="100">
        <v>2.7699999999999999E-2</v>
      </c>
      <c r="C10" s="97">
        <v>6.2200000000000012E-2</v>
      </c>
      <c r="D10" s="100">
        <v>7.4800000000000005E-2</v>
      </c>
      <c r="E10" s="100">
        <v>5.74E-2</v>
      </c>
      <c r="F10" s="100">
        <v>2.7699999999999999E-2</v>
      </c>
      <c r="G10" s="100">
        <v>0.1925</v>
      </c>
      <c r="H10" s="100">
        <v>5.6800000000000003E-2</v>
      </c>
      <c r="I10" s="100">
        <v>1.3100000000000001E-2</v>
      </c>
      <c r="J10" s="100">
        <v>1.3100000000000001E-2</v>
      </c>
    </row>
    <row r="11" spans="1:10" x14ac:dyDescent="0.25">
      <c r="A11" s="53" t="s">
        <v>40</v>
      </c>
      <c r="B11" s="100">
        <v>585.42970091559994</v>
      </c>
      <c r="C11" s="97">
        <v>59.935888358085705</v>
      </c>
      <c r="D11" s="100">
        <v>208.11263324939998</v>
      </c>
      <c r="E11" s="100">
        <v>32.001853577199995</v>
      </c>
      <c r="F11" s="100">
        <v>18.258587954599999</v>
      </c>
      <c r="G11" s="100">
        <v>24.454598603800001</v>
      </c>
      <c r="H11" s="100">
        <v>76.589702848199991</v>
      </c>
      <c r="I11" s="100">
        <v>30.0669211367</v>
      </c>
      <c r="J11" s="100">
        <v>30.0669211367</v>
      </c>
    </row>
    <row r="12" spans="1:10" s="7" customFormat="1" x14ac:dyDescent="0.25">
      <c r="A12" s="9" t="s">
        <v>41</v>
      </c>
      <c r="B12" s="45">
        <v>1.429</v>
      </c>
      <c r="C12" s="97">
        <v>0.97468571428571438</v>
      </c>
      <c r="D12" s="45">
        <v>1.0397000000000001</v>
      </c>
      <c r="E12" s="45">
        <v>0.1663</v>
      </c>
      <c r="F12" s="45">
        <v>1.8357000000000001</v>
      </c>
      <c r="G12" s="45">
        <v>1.1108</v>
      </c>
      <c r="H12" s="45">
        <v>1.0723</v>
      </c>
      <c r="I12" s="45">
        <v>0.79900000000000004</v>
      </c>
      <c r="J12" s="45">
        <v>0.79900000000000004</v>
      </c>
    </row>
    <row r="13" spans="1:10" s="7" customFormat="1" x14ac:dyDescent="0.25">
      <c r="A13" s="9" t="s">
        <v>42</v>
      </c>
      <c r="B13" s="45">
        <v>0.16848600000000002</v>
      </c>
      <c r="C13" s="97">
        <v>0.27419500000000002</v>
      </c>
      <c r="D13" s="45">
        <v>0.20491599999999999</v>
      </c>
      <c r="E13" s="45">
        <v>0.12590299999999999</v>
      </c>
      <c r="F13" s="45">
        <v>0.114693</v>
      </c>
      <c r="G13" s="45">
        <v>0.55810199999999999</v>
      </c>
      <c r="H13" s="45">
        <v>0.21302900000000002</v>
      </c>
      <c r="I13" s="45">
        <v>0.35136099999999998</v>
      </c>
      <c r="J13" s="45">
        <v>0.35136099999999998</v>
      </c>
    </row>
    <row r="14" spans="1:10" s="7" customFormat="1" x14ac:dyDescent="0.25">
      <c r="A14" s="9" t="s">
        <v>43</v>
      </c>
      <c r="B14" s="101">
        <v>31.649124630599999</v>
      </c>
      <c r="C14" s="97">
        <v>6.704958787771429</v>
      </c>
      <c r="D14" s="101">
        <v>19.880482227599998</v>
      </c>
      <c r="E14" s="101">
        <v>4.7065288541000001</v>
      </c>
      <c r="F14" s="101">
        <v>1.3781478146000001</v>
      </c>
      <c r="G14" s="101">
        <v>2.6613473128999998</v>
      </c>
      <c r="H14" s="101">
        <v>5.1782944319999995</v>
      </c>
      <c r="I14" s="101">
        <v>6.5649554366</v>
      </c>
      <c r="J14" s="101">
        <v>6.5649554366</v>
      </c>
    </row>
    <row r="15" spans="1:10" x14ac:dyDescent="0.25">
      <c r="A15" s="53" t="s">
        <v>45</v>
      </c>
      <c r="B15" s="44">
        <v>0.14113100000000001</v>
      </c>
      <c r="C15" s="97">
        <v>7.2872142857142858E-2</v>
      </c>
      <c r="D15" s="44">
        <v>0.20266200000000001</v>
      </c>
      <c r="E15" s="44">
        <v>0.123225</v>
      </c>
      <c r="F15" s="44">
        <v>1.3467E-2</v>
      </c>
      <c r="G15" s="44">
        <v>4.2020000000000002E-2</v>
      </c>
      <c r="H15" s="44">
        <v>0.10680099999999999</v>
      </c>
      <c r="I15" s="44">
        <v>1.0965000000000001E-2</v>
      </c>
      <c r="J15" s="44">
        <v>1.0965000000000001E-2</v>
      </c>
    </row>
    <row r="16" spans="1:10" s="7" customFormat="1" ht="25.8" customHeight="1" x14ac:dyDescent="0.25">
      <c r="A16" s="9" t="s">
        <v>46</v>
      </c>
      <c r="B16" s="101">
        <v>111.33895061790001</v>
      </c>
      <c r="C16" s="97">
        <v>45.147803350542858</v>
      </c>
      <c r="D16" s="101">
        <v>16.7871322449</v>
      </c>
      <c r="E16" s="101">
        <v>-1.4394926318000001</v>
      </c>
      <c r="F16" s="101">
        <v>8.6314972312999991</v>
      </c>
      <c r="G16" s="101">
        <v>6.7157592807000004</v>
      </c>
      <c r="H16" s="101">
        <v>52.6858320499</v>
      </c>
      <c r="I16" s="101">
        <v>116.3269476394</v>
      </c>
      <c r="J16" s="101">
        <v>116.3269476394</v>
      </c>
    </row>
    <row r="17" spans="1:10" x14ac:dyDescent="0.25">
      <c r="A17" s="53"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1"/>
  <sheetViews>
    <sheetView workbookViewId="0">
      <selection activeCell="D11" sqref="D11"/>
    </sheetView>
  </sheetViews>
  <sheetFormatPr defaultColWidth="8.88671875" defaultRowHeight="14.4" x14ac:dyDescent="0.25"/>
  <cols>
    <col min="1" max="1" width="15.6640625" style="25" customWidth="1"/>
    <col min="2" max="2" width="15.21875" style="55" customWidth="1"/>
    <col min="3" max="4" width="18.88671875" style="55" customWidth="1"/>
    <col min="5" max="5" width="15.109375" style="55" customWidth="1"/>
    <col min="6" max="6" width="51" style="55" customWidth="1"/>
  </cols>
  <sheetData>
    <row r="1" spans="1:6" x14ac:dyDescent="0.25">
      <c r="A1" s="149" t="s">
        <v>203</v>
      </c>
      <c r="B1" s="118"/>
      <c r="C1" s="118"/>
      <c r="D1" s="118"/>
      <c r="E1" s="118"/>
      <c r="F1" s="118"/>
    </row>
    <row r="2" spans="1:6" x14ac:dyDescent="0.25">
      <c r="A2" s="51" t="s">
        <v>204</v>
      </c>
      <c r="B2" s="50" t="s">
        <v>205</v>
      </c>
      <c r="C2" s="50" t="s">
        <v>206</v>
      </c>
      <c r="D2" s="50" t="s">
        <v>207</v>
      </c>
      <c r="E2" s="50" t="s">
        <v>183</v>
      </c>
      <c r="F2" s="50" t="s">
        <v>208</v>
      </c>
    </row>
    <row r="3" spans="1:6" ht="48" customHeight="1" x14ac:dyDescent="0.25">
      <c r="A3" s="103">
        <v>43535</v>
      </c>
      <c r="B3" s="52" t="s">
        <v>209</v>
      </c>
      <c r="C3" s="104" t="s">
        <v>210</v>
      </c>
      <c r="D3" s="104"/>
      <c r="E3" s="52" t="s">
        <v>211</v>
      </c>
      <c r="F3" s="104" t="s">
        <v>212</v>
      </c>
    </row>
    <row r="4" spans="1:6" ht="49.5" customHeight="1" x14ac:dyDescent="0.25">
      <c r="A4" s="103">
        <v>43515</v>
      </c>
      <c r="B4" s="52" t="s">
        <v>213</v>
      </c>
      <c r="C4" s="104" t="s">
        <v>214</v>
      </c>
      <c r="D4" s="104"/>
      <c r="E4" s="52" t="s">
        <v>215</v>
      </c>
      <c r="F4" s="104" t="s">
        <v>216</v>
      </c>
    </row>
    <row r="5" spans="1:6" ht="57" x14ac:dyDescent="0.25">
      <c r="A5" s="103">
        <v>43447</v>
      </c>
      <c r="B5" s="52" t="s">
        <v>217</v>
      </c>
      <c r="C5" s="104" t="s">
        <v>210</v>
      </c>
      <c r="D5" s="104"/>
      <c r="E5" s="52" t="s">
        <v>218</v>
      </c>
      <c r="F5" s="104" t="s">
        <v>219</v>
      </c>
    </row>
    <row r="6" spans="1:6" x14ac:dyDescent="0.25">
      <c r="A6" s="103">
        <v>43363</v>
      </c>
      <c r="B6" s="52" t="s">
        <v>220</v>
      </c>
      <c r="C6" s="104"/>
      <c r="D6" s="104" t="s">
        <v>221</v>
      </c>
      <c r="E6" s="52" t="s">
        <v>222</v>
      </c>
      <c r="F6" s="104"/>
    </row>
    <row r="7" spans="1:6" x14ac:dyDescent="0.25">
      <c r="A7" s="103">
        <v>43311</v>
      </c>
      <c r="B7" s="52" t="s">
        <v>223</v>
      </c>
      <c r="C7" s="104"/>
      <c r="D7" s="104" t="s">
        <v>224</v>
      </c>
      <c r="E7" s="52" t="s">
        <v>225</v>
      </c>
      <c r="F7" s="104" t="s">
        <v>226</v>
      </c>
    </row>
    <row r="8" spans="1:6" ht="57" x14ac:dyDescent="0.25">
      <c r="A8" s="103">
        <v>43298</v>
      </c>
      <c r="B8" s="52" t="s">
        <v>227</v>
      </c>
      <c r="C8" s="104" t="s">
        <v>214</v>
      </c>
      <c r="D8" s="104"/>
      <c r="E8" s="52" t="s">
        <v>225</v>
      </c>
      <c r="F8" s="104" t="s">
        <v>228</v>
      </c>
    </row>
    <row r="9" spans="1:6" ht="45.6" x14ac:dyDescent="0.25">
      <c r="A9" s="103">
        <v>43276</v>
      </c>
      <c r="B9" s="52" t="s">
        <v>229</v>
      </c>
      <c r="C9" s="104" t="s">
        <v>214</v>
      </c>
      <c r="D9" s="104"/>
      <c r="E9" s="52" t="s">
        <v>230</v>
      </c>
      <c r="F9" s="104" t="s">
        <v>231</v>
      </c>
    </row>
    <row r="10" spans="1:6" ht="45.6" x14ac:dyDescent="0.25">
      <c r="A10" s="103">
        <v>43276</v>
      </c>
      <c r="B10" s="52" t="s">
        <v>232</v>
      </c>
      <c r="C10" s="104" t="s">
        <v>210</v>
      </c>
      <c r="D10" s="104"/>
      <c r="E10" s="52" t="s">
        <v>215</v>
      </c>
      <c r="F10" s="104" t="s">
        <v>233</v>
      </c>
    </row>
    <row r="11" spans="1:6" ht="57" x14ac:dyDescent="0.25">
      <c r="A11" s="103">
        <v>43266</v>
      </c>
      <c r="B11" s="52" t="s">
        <v>234</v>
      </c>
      <c r="C11" s="104" t="s">
        <v>210</v>
      </c>
      <c r="D11" s="104"/>
      <c r="E11" s="52" t="s">
        <v>215</v>
      </c>
      <c r="F11" s="104" t="s">
        <v>235</v>
      </c>
    </row>
    <row r="12" spans="1:6" x14ac:dyDescent="0.25">
      <c r="A12" s="105">
        <v>43265</v>
      </c>
      <c r="B12" t="s">
        <v>236</v>
      </c>
      <c r="C12" s="106" t="s">
        <v>210</v>
      </c>
      <c r="D12" s="106"/>
      <c r="E12" t="s">
        <v>230</v>
      </c>
      <c r="F12" s="106"/>
    </row>
    <row r="13" spans="1:6" x14ac:dyDescent="0.25">
      <c r="A13" s="105">
        <v>43264</v>
      </c>
      <c r="B13" t="s">
        <v>237</v>
      </c>
      <c r="C13" s="106" t="s">
        <v>210</v>
      </c>
      <c r="D13" s="106"/>
      <c r="E13" t="s">
        <v>215</v>
      </c>
      <c r="F13" s="106" t="s">
        <v>238</v>
      </c>
    </row>
    <row r="14" spans="1:6" x14ac:dyDescent="0.25">
      <c r="A14" s="105">
        <v>43245</v>
      </c>
      <c r="B14" t="s">
        <v>239</v>
      </c>
      <c r="C14" s="106" t="s">
        <v>210</v>
      </c>
      <c r="D14" s="106"/>
      <c r="E14" t="s">
        <v>215</v>
      </c>
      <c r="F14" s="106"/>
    </row>
    <row r="15" spans="1:6" ht="27" customHeight="1" x14ac:dyDescent="0.25">
      <c r="A15" s="105">
        <v>43207</v>
      </c>
      <c r="B15" t="s">
        <v>240</v>
      </c>
      <c r="C15" s="106" t="s">
        <v>210</v>
      </c>
      <c r="D15" s="106"/>
      <c r="E15" t="s">
        <v>215</v>
      </c>
      <c r="F15" s="106" t="s">
        <v>241</v>
      </c>
    </row>
    <row r="16" spans="1:6" ht="27" customHeight="1" x14ac:dyDescent="0.25"/>
    <row r="31" spans="1:6" x14ac:dyDescent="0.25">
      <c r="A31" s="139" t="s">
        <v>242</v>
      </c>
      <c r="B31" s="139"/>
      <c r="C31" s="139"/>
      <c r="D31" s="139"/>
      <c r="E31" s="139"/>
      <c r="F31" s="139"/>
    </row>
    <row r="32" spans="1:6" x14ac:dyDescent="0.25">
      <c r="A32" s="83" t="s">
        <v>204</v>
      </c>
      <c r="B32" s="83" t="s">
        <v>205</v>
      </c>
      <c r="C32" s="83" t="s">
        <v>243</v>
      </c>
      <c r="D32" s="83" t="s">
        <v>244</v>
      </c>
      <c r="E32" s="83" t="s">
        <v>183</v>
      </c>
      <c r="F32" s="83" t="s">
        <v>208</v>
      </c>
    </row>
    <row r="33" spans="1:6" x14ac:dyDescent="0.25">
      <c r="A33" s="107">
        <v>43537</v>
      </c>
      <c r="B33" s="57" t="s">
        <v>245</v>
      </c>
      <c r="C33" s="108" t="s">
        <v>246</v>
      </c>
      <c r="D33" s="108"/>
      <c r="E33" s="57" t="s">
        <v>230</v>
      </c>
      <c r="F33" s="108"/>
    </row>
    <row r="34" spans="1:6" x14ac:dyDescent="0.25">
      <c r="A34" s="107">
        <v>43497</v>
      </c>
      <c r="B34" s="57" t="s">
        <v>247</v>
      </c>
      <c r="C34" s="108" t="s">
        <v>248</v>
      </c>
      <c r="D34" s="108"/>
      <c r="E34" s="57" t="s">
        <v>230</v>
      </c>
      <c r="F34" s="108" t="s">
        <v>249</v>
      </c>
    </row>
    <row r="35" spans="1:6" x14ac:dyDescent="0.25">
      <c r="A35" s="107">
        <v>43459</v>
      </c>
      <c r="B35" s="57" t="s">
        <v>250</v>
      </c>
      <c r="C35" s="108" t="s">
        <v>251</v>
      </c>
      <c r="D35" s="108"/>
      <c r="E35" s="57" t="s">
        <v>193</v>
      </c>
      <c r="F35" s="108"/>
    </row>
    <row r="36" spans="1:6" x14ac:dyDescent="0.25">
      <c r="A36" s="107">
        <v>43458</v>
      </c>
      <c r="B36" s="57" t="s">
        <v>252</v>
      </c>
      <c r="C36" s="108" t="s">
        <v>253</v>
      </c>
      <c r="D36" s="108"/>
      <c r="E36" s="57" t="s">
        <v>215</v>
      </c>
      <c r="F36" s="108" t="s">
        <v>254</v>
      </c>
    </row>
    <row r="37" spans="1:6" x14ac:dyDescent="0.25">
      <c r="A37" s="107">
        <v>43385</v>
      </c>
      <c r="B37" s="57" t="s">
        <v>255</v>
      </c>
      <c r="C37" s="108" t="s">
        <v>256</v>
      </c>
      <c r="D37" s="108"/>
      <c r="E37" s="57" t="s">
        <v>230</v>
      </c>
      <c r="F37" s="108" t="s">
        <v>257</v>
      </c>
    </row>
    <row r="38" spans="1:6" x14ac:dyDescent="0.25">
      <c r="A38" s="107">
        <v>43307</v>
      </c>
      <c r="B38" s="57" t="s">
        <v>258</v>
      </c>
      <c r="C38" s="108"/>
      <c r="D38" s="108" t="s">
        <v>259</v>
      </c>
      <c r="E38" s="57"/>
      <c r="F38" s="108" t="s">
        <v>260</v>
      </c>
    </row>
    <row r="39" spans="1:6" x14ac:dyDescent="0.25">
      <c r="A39" s="107">
        <v>43266</v>
      </c>
      <c r="B39" s="57" t="s">
        <v>261</v>
      </c>
      <c r="C39" s="108" t="s">
        <v>262</v>
      </c>
      <c r="D39" s="108"/>
      <c r="E39" s="57" t="s">
        <v>263</v>
      </c>
      <c r="F39" s="108"/>
    </row>
    <row r="40" spans="1:6" x14ac:dyDescent="0.25">
      <c r="A40" s="107">
        <v>43249</v>
      </c>
      <c r="B40" s="57" t="s">
        <v>264</v>
      </c>
      <c r="C40" s="108" t="s">
        <v>265</v>
      </c>
      <c r="D40" s="108"/>
      <c r="E40" s="57" t="s">
        <v>193</v>
      </c>
      <c r="F40" s="108" t="s">
        <v>266</v>
      </c>
    </row>
    <row r="41" spans="1:6" x14ac:dyDescent="0.25">
      <c r="A41" s="107">
        <v>43224</v>
      </c>
      <c r="B41" s="57" t="s">
        <v>267</v>
      </c>
      <c r="C41" s="108" t="s">
        <v>268</v>
      </c>
      <c r="D41" s="108"/>
      <c r="E41" s="57" t="s">
        <v>222</v>
      </c>
      <c r="F41" s="108" t="s">
        <v>269</v>
      </c>
    </row>
  </sheetData>
  <mergeCells count="2">
    <mergeCell ref="A1:F1"/>
    <mergeCell ref="A31:F3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5" customWidth="1"/>
    <col min="2" max="2" width="9.44140625" style="55" customWidth="1"/>
    <col min="3" max="3" width="9" style="55" customWidth="1"/>
    <col min="4" max="4" width="7.44140625" style="55" customWidth="1"/>
    <col min="5" max="5" width="8.109375" style="55" customWidth="1"/>
    <col min="6" max="6" width="26.6640625" style="55" customWidth="1"/>
    <col min="7" max="7" width="8.6640625" style="55" customWidth="1"/>
    <col min="8" max="8" width="12.109375" style="55" customWidth="1"/>
    <col min="9" max="9" width="7.44140625" style="55" customWidth="1"/>
    <col min="10" max="10" width="7.88671875" style="55" customWidth="1"/>
    <col min="11" max="11" width="7.6640625" style="55" customWidth="1"/>
    <col min="12" max="12" width="13.21875" style="55" customWidth="1"/>
    <col min="13" max="13" width="7.109375" style="55" customWidth="1"/>
    <col min="14" max="14" width="37.6640625" style="55" customWidth="1"/>
    <col min="15" max="15" width="25.33203125" style="55" customWidth="1"/>
    <col min="16" max="16" width="20.44140625" style="109" customWidth="1"/>
    <col min="17" max="17" width="12" style="55" customWidth="1"/>
    <col min="18" max="18" width="10.44140625" style="55" customWidth="1"/>
  </cols>
  <sheetData>
    <row r="1" spans="1:18" x14ac:dyDescent="0.25">
      <c r="A1" s="150" t="s">
        <v>270</v>
      </c>
      <c r="B1" s="118"/>
      <c r="C1" s="118"/>
      <c r="D1" s="118"/>
      <c r="E1" s="118"/>
      <c r="F1" s="118"/>
      <c r="G1" s="118"/>
      <c r="H1" s="118"/>
      <c r="I1" s="118"/>
      <c r="J1" s="118"/>
      <c r="K1" s="118"/>
      <c r="L1" s="118"/>
      <c r="M1" s="118"/>
      <c r="N1" s="118"/>
    </row>
    <row r="2" spans="1:18" s="1" customFormat="1" ht="25.5" customHeight="1" x14ac:dyDescent="0.25">
      <c r="A2" s="54" t="s">
        <v>271</v>
      </c>
      <c r="B2" s="54" t="s">
        <v>272</v>
      </c>
      <c r="C2" s="54" t="s">
        <v>273</v>
      </c>
      <c r="D2" s="54" t="s">
        <v>274</v>
      </c>
      <c r="E2" s="54" t="s">
        <v>275</v>
      </c>
      <c r="F2" s="54" t="s">
        <v>276</v>
      </c>
      <c r="G2" s="54" t="s">
        <v>277</v>
      </c>
      <c r="H2" s="54" t="s">
        <v>16</v>
      </c>
      <c r="I2" s="54" t="s">
        <v>278</v>
      </c>
      <c r="J2" s="54" t="s">
        <v>279</v>
      </c>
      <c r="K2" s="54" t="s">
        <v>280</v>
      </c>
      <c r="L2" s="54" t="s">
        <v>281</v>
      </c>
      <c r="M2" s="54" t="s">
        <v>19</v>
      </c>
      <c r="N2" s="54" t="s">
        <v>282</v>
      </c>
      <c r="O2" s="3"/>
      <c r="P2" s="110" t="str">
        <f ca="1">Q2</f>
        <v>2019-04-15</v>
      </c>
      <c r="Q2" s="1" t="str">
        <f ca="1">[1]!td(R2-1)</f>
        <v>2019-04-15</v>
      </c>
      <c r="R2" s="3">
        <f ca="1">TODAY()</f>
        <v>43571</v>
      </c>
    </row>
    <row r="3" spans="1:18" ht="15.75" customHeight="1" x14ac:dyDescent="0.25">
      <c r="A3" s="111" t="str">
        <f>[1]!b_info_name(L3)</f>
        <v>19福建阳光MTN001</v>
      </c>
      <c r="B3" s="2" t="str">
        <f>[1]!b_issue_firstissue(L3)</f>
        <v>2019-04-17</v>
      </c>
      <c r="C3" s="111">
        <f>[1]!b_info_term(L3)</f>
        <v>3</v>
      </c>
      <c r="D3" s="112" t="str">
        <f>[1]!issuerrating(L3)</f>
        <v>AA+</v>
      </c>
      <c r="E3" s="112" t="str">
        <f>[1]!b_info_creditrating(L3)</f>
        <v>AA+</v>
      </c>
      <c r="F3" s="111" t="str">
        <f>[1]!b_rate_creditratingagency(L3)</f>
        <v>东方金诚国际信用评估有限公司</v>
      </c>
      <c r="G3" s="113">
        <f>[1]!b_agency_guarantor(L3)</f>
        <v>0</v>
      </c>
      <c r="H3" s="114" t="s">
        <v>283</v>
      </c>
      <c r="I3" s="65"/>
      <c r="J3" s="115" t="s">
        <v>283</v>
      </c>
      <c r="K3" s="116"/>
      <c r="L3" s="41" t="str">
        <f>公式页!A2</f>
        <v>q19041205.IB</v>
      </c>
      <c r="M3" s="114" t="s">
        <v>283</v>
      </c>
      <c r="N3" s="111" t="str">
        <f>[1]!b_agency_leadunderwriter(L3)</f>
        <v>中国国际金融股份有限公司,兴业银行股份有限公司</v>
      </c>
      <c r="P3" s="109" t="str">
        <f t="shared" ref="P3:P29" ca="1" si="0">$P$2</f>
        <v>2019-04-15</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5"/>
      <c r="J4" s="115">
        <f ca="1">[1]!b_anal_yield_cnbd(L4,P2,1)</f>
        <v>3.7343999999999999</v>
      </c>
      <c r="K4" s="116">
        <f>K3</f>
        <v>0</v>
      </c>
      <c r="L4" s="4" t="s">
        <v>284</v>
      </c>
      <c r="M4" s="114">
        <f>[1]!b_info_issueamount(L4)/100000000</f>
        <v>5</v>
      </c>
      <c r="N4" s="111" t="str">
        <f>[1]!b_agency_leadunderwriter(L4)</f>
        <v>上海浦东发展银行股份有限公司,中国国际金融股份有限公司</v>
      </c>
      <c r="P4" s="109" t="str">
        <f t="shared" ca="1" si="0"/>
        <v>2019-04-15</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5"/>
      <c r="J5" s="115">
        <f ca="1">[1]!b_anal_yield_cnbd(L5,P3,1)</f>
        <v>0</v>
      </c>
      <c r="K5" s="116">
        <f>K3</f>
        <v>0</v>
      </c>
      <c r="L5" s="5"/>
      <c r="M5" s="114">
        <f>[1]!b_info_issueamount(L5)/100000000</f>
        <v>0</v>
      </c>
      <c r="N5" s="111">
        <f>[1]!b_agency_leadunderwriter(L5)</f>
        <v>0</v>
      </c>
      <c r="P5" s="109" t="str">
        <f t="shared" ca="1" si="0"/>
        <v>2019-04-15</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5"/>
      <c r="J6" s="115">
        <f ca="1">[1]!b_anal_yield_cnbd(L6,P4,1)</f>
        <v>0</v>
      </c>
      <c r="K6" s="116">
        <f>K3</f>
        <v>0</v>
      </c>
      <c r="L6" s="5"/>
      <c r="M6" s="114">
        <f>[1]!b_info_issueamount(L6)/100000000</f>
        <v>0</v>
      </c>
      <c r="N6" s="111">
        <f>[1]!b_agency_leadunderwriter(L6)</f>
        <v>0</v>
      </c>
      <c r="P6" s="109" t="str">
        <f t="shared" ca="1" si="0"/>
        <v>2019-04-15</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5"/>
      <c r="J7" s="115">
        <f ca="1">[1]!b_anal_yield_cnbd(L7,P5,1)</f>
        <v>0</v>
      </c>
      <c r="K7" s="116">
        <f>K3</f>
        <v>0</v>
      </c>
      <c r="L7" s="5"/>
      <c r="M7" s="114">
        <f>[1]!b_info_issueamount(L7)/100000000</f>
        <v>0</v>
      </c>
      <c r="N7" s="111">
        <f>[1]!b_agency_leadunderwriter(L7)</f>
        <v>0</v>
      </c>
      <c r="P7" s="109" t="str">
        <f t="shared" ca="1" si="0"/>
        <v>2019-04-15</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5"/>
      <c r="J8" s="115">
        <f ca="1">[1]!b_anal_yield_cnbd(L8,P6,1)</f>
        <v>0</v>
      </c>
      <c r="K8" s="116">
        <f>K3</f>
        <v>0</v>
      </c>
      <c r="L8" s="5"/>
      <c r="M8" s="114">
        <f>[1]!b_info_issueamount(L8)/100000000</f>
        <v>0</v>
      </c>
      <c r="N8" s="111">
        <f>[1]!b_agency_leadunderwriter(L8)</f>
        <v>0</v>
      </c>
      <c r="P8" s="109" t="str">
        <f t="shared" ca="1" si="0"/>
        <v>2019-04-15</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5"/>
      <c r="J9" s="115">
        <f ca="1">[1]!b_anal_yield_cnbd(L9,P7,1)</f>
        <v>0</v>
      </c>
      <c r="K9" s="116">
        <f>K3</f>
        <v>0</v>
      </c>
      <c r="L9" s="5"/>
      <c r="M9" s="114">
        <f>[1]!b_info_issueamount(L9)/100000000</f>
        <v>0</v>
      </c>
      <c r="N9" s="111">
        <f>[1]!b_agency_leadunderwriter(L9)</f>
        <v>0</v>
      </c>
      <c r="P9" s="109" t="str">
        <f t="shared" ca="1" si="0"/>
        <v>2019-04-15</v>
      </c>
    </row>
    <row r="10" spans="1:18" x14ac:dyDescent="0.25">
      <c r="P10" s="109" t="str">
        <f t="shared" ca="1" si="0"/>
        <v>2019-04-15</v>
      </c>
    </row>
    <row r="11" spans="1:18" x14ac:dyDescent="0.25">
      <c r="P11" s="109" t="str">
        <f t="shared" ca="1" si="0"/>
        <v>2019-04-15</v>
      </c>
    </row>
    <row r="12" spans="1:18" x14ac:dyDescent="0.25">
      <c r="A12" s="150" t="s">
        <v>285</v>
      </c>
      <c r="B12" s="118"/>
      <c r="C12" s="118"/>
      <c r="D12" s="118"/>
      <c r="E12" s="118"/>
      <c r="F12" s="118"/>
      <c r="G12" s="118"/>
      <c r="H12" s="118"/>
      <c r="I12" s="118"/>
      <c r="J12" s="118"/>
      <c r="K12" s="118"/>
      <c r="L12" s="118"/>
      <c r="M12" s="118"/>
      <c r="N12" s="118"/>
      <c r="P12" s="109" t="str">
        <f t="shared" ca="1" si="0"/>
        <v>2019-04-15</v>
      </c>
    </row>
    <row r="13" spans="1:18" s="1" customFormat="1" ht="43.2" customHeight="1" x14ac:dyDescent="0.25">
      <c r="A13" s="54" t="s">
        <v>271</v>
      </c>
      <c r="B13" s="54" t="s">
        <v>272</v>
      </c>
      <c r="C13" s="54" t="s">
        <v>273</v>
      </c>
      <c r="D13" s="54" t="s">
        <v>274</v>
      </c>
      <c r="E13" s="54" t="s">
        <v>275</v>
      </c>
      <c r="F13" s="54" t="s">
        <v>276</v>
      </c>
      <c r="G13" s="54" t="s">
        <v>277</v>
      </c>
      <c r="H13" s="54" t="s">
        <v>16</v>
      </c>
      <c r="I13" s="54" t="s">
        <v>278</v>
      </c>
      <c r="J13" s="54" t="s">
        <v>279</v>
      </c>
      <c r="K13" s="54" t="s">
        <v>280</v>
      </c>
      <c r="L13" s="54" t="s">
        <v>281</v>
      </c>
      <c r="M13" s="54" t="s">
        <v>19</v>
      </c>
      <c r="N13" s="54" t="s">
        <v>282</v>
      </c>
      <c r="P13" s="109" t="str">
        <f t="shared" ca="1" si="0"/>
        <v>2019-04-15</v>
      </c>
    </row>
    <row r="14" spans="1:18" ht="15.75" customHeight="1" x14ac:dyDescent="0.25">
      <c r="A14" s="111" t="str">
        <f>[1]!b_info_name(L14)</f>
        <v>19福建阳光MTN001</v>
      </c>
      <c r="B14" s="2" t="str">
        <f>[1]!b_issue_firstissue(L14)</f>
        <v>2019-04-17</v>
      </c>
      <c r="C14" s="111">
        <f>[1]!b_info_term(L14)</f>
        <v>3</v>
      </c>
      <c r="D14" s="112" t="str">
        <f>[1]!issuerrating(L14)</f>
        <v>AA+</v>
      </c>
      <c r="E14" s="112" t="str">
        <f>[1]!b_info_creditrating(L14)</f>
        <v>AA+</v>
      </c>
      <c r="F14" s="111" t="str">
        <f>[1]!b_rate_creditratingagency(L14)</f>
        <v>东方金诚国际信用评估有限公司</v>
      </c>
      <c r="G14" s="113">
        <f>[1]!b_agency_guarantor(L14)</f>
        <v>0</v>
      </c>
      <c r="H14" s="114" t="s">
        <v>283</v>
      </c>
      <c r="I14" s="65"/>
      <c r="J14" s="115" t="s">
        <v>283</v>
      </c>
      <c r="K14" s="116">
        <f>K3</f>
        <v>0</v>
      </c>
      <c r="L14" s="42" t="str">
        <f>L3</f>
        <v>q19041205.IB</v>
      </c>
      <c r="M14" s="114" t="s">
        <v>283</v>
      </c>
      <c r="N14" s="111" t="str">
        <f>[1]!b_agency_leadunderwriter(L14)</f>
        <v>中国国际金融股份有限公司,兴业银行股份有限公司</v>
      </c>
      <c r="P14" s="109" t="str">
        <f t="shared" ca="1" si="0"/>
        <v>2019-04-15</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5"/>
      <c r="J15" s="115">
        <f ca="1">[1]!b_anal_yield_cnbd(L15,P13,1)</f>
        <v>0</v>
      </c>
      <c r="K15" s="116"/>
      <c r="L15" s="6" t="s">
        <v>286</v>
      </c>
      <c r="M15" s="114">
        <f>[1]!b_info_issueamount(L15)/100000000</f>
        <v>5</v>
      </c>
      <c r="N15" s="111" t="str">
        <f>[1]!b_agency_leadunderwriter(L15)</f>
        <v>招商银行股份有限公司</v>
      </c>
      <c r="O15" t="str">
        <f>[1]!b_issuer_windindustry(L15,4)</f>
        <v>西药</v>
      </c>
      <c r="P15" s="109" t="str">
        <f t="shared" ca="1" si="0"/>
        <v>2019-04-15</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5"/>
      <c r="J16" s="115">
        <f ca="1">[1]!b_anal_yield_cnbd(L16,P14,1)</f>
        <v>0</v>
      </c>
      <c r="K16" s="116"/>
      <c r="L16" s="6" t="s">
        <v>287</v>
      </c>
      <c r="M16" s="114">
        <f>[1]!b_info_issueamount(L16)/100000000</f>
        <v>6</v>
      </c>
      <c r="N16" s="111" t="str">
        <f>[1]!b_agency_leadunderwriter(L16)</f>
        <v>北京银行股份有限公司</v>
      </c>
      <c r="O16" t="str">
        <f>[1]!b_issuer_windindustry(L16,4)</f>
        <v>化肥与农用化工</v>
      </c>
      <c r="P16" s="109" t="str">
        <f t="shared" ca="1" si="0"/>
        <v>2019-04-15</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5"/>
      <c r="J17" s="115">
        <f ca="1">[1]!b_anal_yield_cnbd(L17,P15,1)</f>
        <v>0</v>
      </c>
      <c r="K17" s="116"/>
      <c r="L17" s="6" t="s">
        <v>288</v>
      </c>
      <c r="M17" s="114">
        <f>[1]!b_info_issueamount(L17)/100000000</f>
        <v>3.5</v>
      </c>
      <c r="N17" s="111" t="str">
        <f>[1]!b_agency_leadunderwriter(L17)</f>
        <v>华夏银行股份有限公司</v>
      </c>
      <c r="O17" t="str">
        <f>[1]!b_issuer_windindustry(L17,4)</f>
        <v>食品加工与肉类</v>
      </c>
      <c r="P17" s="109" t="str">
        <f t="shared" ca="1" si="0"/>
        <v>2019-04-15</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5"/>
      <c r="J18" s="115">
        <f ca="1">[1]!b_anal_yield_cnbd(L18,P16,1)</f>
        <v>0</v>
      </c>
      <c r="K18" s="116"/>
      <c r="L18" s="6" t="s">
        <v>289</v>
      </c>
      <c r="M18" s="114">
        <f>[1]!b_info_issueamount(L18)/100000000</f>
        <v>3</v>
      </c>
      <c r="N18" s="111" t="str">
        <f>[1]!b_agency_leadunderwriter(L18)</f>
        <v>兴业银行股份有限公司</v>
      </c>
      <c r="O18" t="str">
        <f>[1]!b_issuer_windindustry(L18,4)</f>
        <v>工业机械</v>
      </c>
      <c r="P18" s="109" t="str">
        <f t="shared" ca="1" si="0"/>
        <v>2019-04-15</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5"/>
      <c r="J19" s="115">
        <f ca="1">[1]!b_anal_yield_cnbd(L19,P17,1)</f>
        <v>0</v>
      </c>
      <c r="K19" s="116"/>
      <c r="L19" s="6" t="s">
        <v>290</v>
      </c>
      <c r="M19" s="114">
        <f>[1]!b_info_issueamount(L19)/100000000</f>
        <v>3</v>
      </c>
      <c r="N19" s="111" t="str">
        <f>[1]!b_agency_leadunderwriter(L19)</f>
        <v>中国银行股份有限公司</v>
      </c>
      <c r="O19" t="str">
        <f>[1]!b_issuer_windindustry(L19,4)</f>
        <v>半导体产品</v>
      </c>
      <c r="P19" s="109" t="str">
        <f t="shared" ca="1" si="0"/>
        <v>2019-04-15</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5"/>
      <c r="J20" s="115">
        <f ca="1">[1]!b_anal_yield_cnbd(L20,P18,1)</f>
        <v>0</v>
      </c>
      <c r="K20" s="116"/>
      <c r="L20" s="6" t="s">
        <v>291</v>
      </c>
      <c r="M20" s="114">
        <f>[1]!b_info_issueamount(L20)/100000000</f>
        <v>5</v>
      </c>
      <c r="N20" s="111" t="str">
        <f>[1]!b_agency_leadunderwriter(L20)</f>
        <v>中国银行股份有限公司</v>
      </c>
      <c r="O20" t="str">
        <f>[1]!b_issuer_windindustry(L20,4)</f>
        <v>医疗保健用品</v>
      </c>
      <c r="P20" s="109" t="str">
        <f t="shared" ca="1" si="0"/>
        <v>2019-04-15</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5"/>
      <c r="J21" s="115">
        <f ca="1">[1]!b_anal_yield_cnbd(L21,P19,1)</f>
        <v>0</v>
      </c>
      <c r="K21" s="116"/>
      <c r="L21" s="6" t="s">
        <v>292</v>
      </c>
      <c r="M21" s="114">
        <f>[1]!b_info_issueamount(L21)/100000000</f>
        <v>2</v>
      </c>
      <c r="N21" s="111" t="str">
        <f>[1]!b_agency_leadunderwriter(L21)</f>
        <v>中国银行股份有限公司</v>
      </c>
      <c r="O21" t="str">
        <f>[1]!b_issuer_windindustry(L21,4)</f>
        <v>食品加工与肉类</v>
      </c>
      <c r="P21" s="109" t="str">
        <f t="shared" ca="1" si="0"/>
        <v>2019-04-15</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5"/>
      <c r="J22" s="115">
        <f ca="1">[1]!b_anal_yield_cnbd(L22,P20,1)</f>
        <v>0</v>
      </c>
      <c r="K22" s="116"/>
      <c r="L22" s="6" t="s">
        <v>293</v>
      </c>
      <c r="M22" s="114">
        <f>[1]!b_info_issueamount(L22)/100000000</f>
        <v>4</v>
      </c>
      <c r="N22" s="111" t="str">
        <f>[1]!b_agency_leadunderwriter(L22)</f>
        <v>中国工商银行股份有限公司</v>
      </c>
      <c r="O22" t="str">
        <f>[1]!b_issuer_windindustry(L22,4)</f>
        <v>酒店、度假村与豪华游轮</v>
      </c>
      <c r="P22" s="109" t="str">
        <f t="shared" ca="1" si="0"/>
        <v>2019-04-15</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5"/>
      <c r="J23" s="115">
        <f ca="1">[1]!b_anal_yield_cnbd(L23,P21,1)</f>
        <v>0</v>
      </c>
      <c r="K23" s="116"/>
      <c r="L23" s="6" t="s">
        <v>294</v>
      </c>
      <c r="M23" s="114">
        <f>[1]!b_info_issueamount(L23)/100000000</f>
        <v>4</v>
      </c>
      <c r="N23" s="111" t="str">
        <f>[1]!b_agency_leadunderwriter(L23)</f>
        <v>中国银行股份有限公司</v>
      </c>
      <c r="O23" t="str">
        <f>[1]!b_issuer_windindustry(L23,4)</f>
        <v>金属非金属</v>
      </c>
      <c r="P23" s="109" t="str">
        <f t="shared" ca="1" si="0"/>
        <v>2019-04-15</v>
      </c>
    </row>
    <row r="24" spans="1:16" x14ac:dyDescent="0.25">
      <c r="P24" s="109" t="str">
        <f t="shared" ca="1" si="0"/>
        <v>2019-04-15</v>
      </c>
    </row>
    <row r="25" spans="1:16" x14ac:dyDescent="0.25">
      <c r="P25" s="109" t="str">
        <f t="shared" ca="1" si="0"/>
        <v>2019-04-15</v>
      </c>
    </row>
    <row r="26" spans="1:16" x14ac:dyDescent="0.25">
      <c r="P26" s="109" t="str">
        <f t="shared" ca="1" si="0"/>
        <v>2019-04-15</v>
      </c>
    </row>
    <row r="27" spans="1:16" x14ac:dyDescent="0.25">
      <c r="P27" s="109" t="str">
        <f t="shared" ca="1" si="0"/>
        <v>2019-04-15</v>
      </c>
    </row>
    <row r="28" spans="1:16" x14ac:dyDescent="0.25">
      <c r="P28" s="109" t="str">
        <f t="shared" ca="1" si="0"/>
        <v>2019-04-15</v>
      </c>
    </row>
    <row r="29" spans="1:16" x14ac:dyDescent="0.25">
      <c r="P29" s="109" t="str">
        <f t="shared" ca="1" si="0"/>
        <v>2019-04-15</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2019-04-16T08:12:20Z</dcterms:modified>
</cp:coreProperties>
</file>