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76DBE3A8-3C4D-4609-94D2-9702E29E0628}"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O23" i="6"/>
  <c r="F21" i="6"/>
  <c r="C20" i="6"/>
  <c r="M17" i="6"/>
  <c r="G16" i="6"/>
  <c r="D15" i="6"/>
  <c r="C14" i="6"/>
  <c r="H9" i="6"/>
  <c r="F7" i="6"/>
  <c r="G6" i="6"/>
  <c r="H5" i="6"/>
  <c r="G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H23" i="6"/>
  <c r="E22" i="6"/>
  <c r="B21" i="6"/>
  <c r="O19" i="6"/>
  <c r="F17" i="6"/>
  <c r="C16" i="6"/>
  <c r="D9" i="6"/>
  <c r="E8" i="6"/>
  <c r="B7" i="6"/>
  <c r="C6" i="6"/>
  <c r="D5" i="6"/>
  <c r="E4" i="6"/>
  <c r="C3" i="6"/>
  <c r="M141" i="1"/>
  <c r="M139" i="1"/>
  <c r="M137" i="1"/>
  <c r="O135" i="1"/>
  <c r="M134" i="1"/>
  <c r="S132" i="1"/>
  <c r="O131" i="1"/>
  <c r="S130" i="1"/>
  <c r="M128" i="1"/>
  <c r="O127" i="1"/>
  <c r="M123" i="1"/>
  <c r="F113" i="1"/>
  <c r="D112" i="1"/>
  <c r="S110" i="1"/>
  <c r="D110" i="1"/>
  <c r="P103" i="1"/>
  <c r="L103" i="1"/>
  <c r="E102" i="1"/>
  <c r="R101" i="1"/>
  <c r="N101" i="1"/>
  <c r="G101" i="1"/>
  <c r="C101" i="1"/>
  <c r="D23" i="6"/>
  <c r="E18" i="6"/>
  <c r="N9" i="6"/>
  <c r="A8" i="6"/>
  <c r="N5" i="6"/>
  <c r="A4" i="6"/>
  <c r="S136" i="1"/>
  <c r="M131" i="1"/>
  <c r="F109" i="1"/>
  <c r="J103" i="1"/>
  <c r="F101" i="1"/>
  <c r="L100" i="1"/>
  <c r="R99" i="1"/>
  <c r="M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A22" i="6"/>
  <c r="B17" i="6"/>
  <c r="M135" i="1"/>
  <c r="O130" i="1"/>
  <c r="M127" i="1"/>
  <c r="F111" i="1"/>
  <c r="D102" i="1"/>
  <c r="B101" i="1"/>
  <c r="J100" i="1"/>
  <c r="Q99" i="1"/>
  <c r="J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N20" i="6"/>
  <c r="O15" i="6"/>
  <c r="M6" i="6"/>
  <c r="S140" i="1"/>
  <c r="S133" i="1"/>
  <c r="S129" i="1"/>
  <c r="M110" i="1"/>
  <c r="Q101" i="1"/>
  <c r="P100" i="1"/>
  <c r="E100" i="1"/>
  <c r="O99" i="1"/>
  <c r="G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H19" i="6"/>
  <c r="M101" i="1"/>
  <c r="F99" i="1"/>
  <c r="C98" i="1"/>
  <c r="R96" i="1"/>
  <c r="E95" i="1"/>
  <c r="G92" i="1"/>
  <c r="C90" i="1"/>
  <c r="E87" i="1"/>
  <c r="G84" i="1"/>
  <c r="C82" i="1"/>
  <c r="E79" i="1"/>
  <c r="G76" i="1"/>
  <c r="C74" i="1"/>
  <c r="E71" i="1"/>
  <c r="G68" i="1"/>
  <c r="C66" i="1"/>
  <c r="E63" i="1"/>
  <c r="G60" i="1"/>
  <c r="C58" i="1"/>
  <c r="E55" i="1"/>
  <c r="G52" i="1"/>
  <c r="C50" i="1"/>
  <c r="C48" i="1"/>
  <c r="G46" i="1"/>
  <c r="E45" i="1"/>
  <c r="C44" i="1"/>
  <c r="G42" i="1"/>
  <c r="F41" i="1"/>
  <c r="G40" i="1"/>
  <c r="G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F10" i="1"/>
  <c r="O132" i="1"/>
  <c r="N99" i="1"/>
  <c r="C96" i="1"/>
  <c r="C88" i="1"/>
  <c r="C80" i="1"/>
  <c r="E77" i="1"/>
  <c r="G66" i="1"/>
  <c r="G58" i="1"/>
  <c r="E53" i="1"/>
  <c r="G45" i="1"/>
  <c r="G41" i="1"/>
  <c r="C39" i="1"/>
  <c r="C37" i="1"/>
  <c r="C35" i="1"/>
  <c r="C33" i="1"/>
  <c r="E32" i="1"/>
  <c r="R29" i="1"/>
  <c r="C29" i="1"/>
  <c r="E28" i="1"/>
  <c r="G27" i="1"/>
  <c r="C27" i="1"/>
  <c r="E26" i="1"/>
  <c r="G25" i="1"/>
  <c r="L24" i="1"/>
  <c r="N23" i="1"/>
  <c r="E22" i="1"/>
  <c r="G21" i="1"/>
  <c r="L20" i="1"/>
  <c r="N19" i="1"/>
  <c r="E18" i="1"/>
  <c r="N17" i="1"/>
  <c r="F16" i="1"/>
  <c r="D15" i="1"/>
  <c r="F14" i="1"/>
  <c r="B10" i="1"/>
  <c r="O100" i="1"/>
  <c r="R98" i="1"/>
  <c r="P97" i="1"/>
  <c r="N96" i="1"/>
  <c r="G94" i="1"/>
  <c r="C92" i="1"/>
  <c r="E89" i="1"/>
  <c r="G86" i="1"/>
  <c r="C84" i="1"/>
  <c r="E81" i="1"/>
  <c r="G78" i="1"/>
  <c r="C76" i="1"/>
  <c r="E73" i="1"/>
  <c r="G70" i="1"/>
  <c r="C68" i="1"/>
  <c r="E65" i="1"/>
  <c r="G62" i="1"/>
  <c r="C60" i="1"/>
  <c r="E57" i="1"/>
  <c r="G54" i="1"/>
  <c r="C52" i="1"/>
  <c r="E49" i="1"/>
  <c r="G47" i="1"/>
  <c r="E46" i="1"/>
  <c r="C45" i="1"/>
  <c r="G43" i="1"/>
  <c r="E42" i="1"/>
  <c r="E41" i="1"/>
  <c r="E40" i="1"/>
  <c r="F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F8" i="1"/>
  <c r="B4" i="1"/>
  <c r="O103" i="1"/>
  <c r="E97" i="1"/>
  <c r="G90" i="1"/>
  <c r="G82" i="1"/>
  <c r="C72" i="1"/>
  <c r="E69" i="1"/>
  <c r="E61" i="1"/>
  <c r="G50" i="1"/>
  <c r="C47" i="1"/>
  <c r="C43" i="1"/>
  <c r="C40" i="1"/>
  <c r="G37" i="1"/>
  <c r="G35" i="1"/>
  <c r="G33" i="1"/>
  <c r="G31" i="1"/>
  <c r="E30" i="1"/>
  <c r="G29" i="1"/>
  <c r="L28" i="1"/>
  <c r="N27" i="1"/>
  <c r="L26" i="1"/>
  <c r="R25" i="1"/>
  <c r="C25" i="1"/>
  <c r="E24" i="1"/>
  <c r="G23" i="1"/>
  <c r="N21" i="1"/>
  <c r="C21" i="1"/>
  <c r="E20" i="1"/>
  <c r="G19" i="1"/>
  <c r="R17" i="1"/>
  <c r="C17" i="1"/>
  <c r="B16" i="1"/>
  <c r="J15" i="1"/>
  <c r="B8" i="1"/>
  <c r="S138" i="1"/>
  <c r="D100" i="1"/>
  <c r="N98" i="1"/>
  <c r="L97" i="1"/>
  <c r="G96" i="1"/>
  <c r="C94" i="1"/>
  <c r="E91" i="1"/>
  <c r="G88" i="1"/>
  <c r="C86" i="1"/>
  <c r="E83" i="1"/>
  <c r="G80" i="1"/>
  <c r="C78" i="1"/>
  <c r="E75" i="1"/>
  <c r="G72" i="1"/>
  <c r="C70" i="1"/>
  <c r="E67" i="1"/>
  <c r="G64" i="1"/>
  <c r="C62" i="1"/>
  <c r="E59" i="1"/>
  <c r="G56" i="1"/>
  <c r="C54" i="1"/>
  <c r="E51" i="1"/>
  <c r="G48" i="1"/>
  <c r="E47" i="1"/>
  <c r="C46" i="1"/>
  <c r="G44" i="1"/>
  <c r="E43" i="1"/>
  <c r="C42" i="1"/>
  <c r="C41" i="1"/>
  <c r="D40" i="1"/>
  <c r="E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B6" i="1"/>
  <c r="S112" i="1"/>
  <c r="G98" i="1"/>
  <c r="E93" i="1"/>
  <c r="E85" i="1"/>
  <c r="G74" i="1"/>
  <c r="C64" i="1"/>
  <c r="C56" i="1"/>
  <c r="E48" i="1"/>
  <c r="E44" i="1"/>
  <c r="B41" i="1"/>
  <c r="E38" i="1"/>
  <c r="E36" i="1"/>
  <c r="E34" i="1"/>
  <c r="C31" i="1"/>
  <c r="N29" i="1"/>
  <c r="P28" i="1"/>
  <c r="R27" i="1"/>
  <c r="P26" i="1"/>
  <c r="N25" i="1"/>
  <c r="P24" i="1"/>
  <c r="R23" i="1"/>
  <c r="C23" i="1"/>
  <c r="R21" i="1"/>
  <c r="P20" i="1"/>
  <c r="R19" i="1"/>
  <c r="C19" i="1"/>
  <c r="G17" i="1"/>
  <c r="O15" i="1"/>
  <c r="B14" i="1"/>
  <c r="E5" i="1"/>
  <c r="H112" i="1" l="1"/>
  <c r="H128" i="1"/>
  <c r="N22" i="1"/>
  <c r="D122" i="1"/>
  <c r="R22" i="1"/>
  <c r="J22" i="1"/>
  <c r="O22" i="1"/>
  <c r="B110" i="1"/>
  <c r="H119" i="1"/>
  <c r="H123" i="1"/>
  <c r="H130" i="1"/>
  <c r="L22" i="1"/>
  <c r="P22" i="1"/>
  <c r="B117" i="1"/>
  <c r="D120" i="1"/>
  <c r="B125" i="1"/>
  <c r="M22" i="1"/>
  <c r="Q22" i="1"/>
  <c r="B121" i="1"/>
  <c r="H126" i="1"/>
  <c r="H110" i="1"/>
  <c r="D117" i="1"/>
  <c r="B118" i="1"/>
  <c r="H120" i="1"/>
  <c r="D121" i="1"/>
  <c r="H122" i="1"/>
  <c r="B124" i="1"/>
  <c r="D125" i="1"/>
  <c r="B127" i="1"/>
  <c r="B129" i="1"/>
  <c r="B131" i="1"/>
  <c r="B109" i="1"/>
  <c r="B111" i="1"/>
  <c r="B112" i="1"/>
  <c r="H117" i="1"/>
  <c r="D118" i="1"/>
  <c r="B119" i="1"/>
  <c r="H121" i="1"/>
  <c r="B123" i="1"/>
  <c r="D124" i="1"/>
  <c r="H125" i="1"/>
  <c r="H127" i="1"/>
  <c r="H129" i="1"/>
  <c r="H131" i="1"/>
  <c r="H109" i="1"/>
  <c r="H111" i="1"/>
  <c r="H118" i="1"/>
  <c r="D119" i="1"/>
  <c r="B120" i="1"/>
  <c r="B122" i="1"/>
  <c r="D123" i="1"/>
  <c r="H124" i="1"/>
  <c r="B126" i="1"/>
  <c r="B128" i="1"/>
  <c r="B130"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9" i="6"/>
  <c r="J22" i="6"/>
  <c r="J15" i="6"/>
  <c r="J21" i="6"/>
  <c r="J16" i="6"/>
  <c r="J23" i="6"/>
  <c r="J5" i="6"/>
  <c r="J18" i="6"/>
  <c r="J20" i="6"/>
  <c r="J6" i="6"/>
  <c r="J19" i="6"/>
  <c r="J7" i="6"/>
</calcChain>
</file>

<file path=xl/sharedStrings.xml><?xml version="1.0" encoding="utf-8"?>
<sst xmlns="http://schemas.openxmlformats.org/spreadsheetml/2006/main" count="800" uniqueCount="421">
  <si>
    <t>d19041610.IB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</si>
  <si>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</si>
  <si>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</si>
  <si>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</si>
  <si>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</si>
  <si>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</si>
  <si>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</si>
  <si>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</si>
  <si>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</si>
  <si>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</si>
  <si>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</si>
  <si>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</si>
  <si>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</si>
  <si>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</si>
  <si>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</si>
  <si>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</si>
  <si>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</si>
  <si>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</si>
  <si>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</si>
  <si>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</si>
  <si>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</si>
  <si>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</si>
  <si>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</si>
  <si>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101652029.IB</t>
  </si>
  <si>
    <t>主体级别</t>
  </si>
  <si>
    <t>AA+</t>
  </si>
  <si>
    <t>031456001.IB</t>
  </si>
  <si>
    <t>*选择性黏贴</t>
  </si>
  <si>
    <t>112203.SZ</t>
  </si>
  <si>
    <t>数据年度</t>
  </si>
  <si>
    <t>2017年</t>
  </si>
  <si>
    <t>122164.SH</t>
  </si>
  <si>
    <t>总资产</t>
  </si>
  <si>
    <t>1182401.IB</t>
  </si>
  <si>
    <t>负债率</t>
  </si>
  <si>
    <t>1382112.IB</t>
  </si>
  <si>
    <t>流动比率</t>
  </si>
  <si>
    <t>112047.SZ</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</si>
  <si>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</si>
  <si>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</si>
  <si>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</si>
  <si>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</si>
  <si>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</si>
  <si>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</si>
  <si>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</si>
  <si>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</si>
  <si>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</si>
  <si>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</si>
  <si>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</si>
  <si>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</si>
  <si>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</si>
  <si>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</si>
  <si>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</si>
  <si>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</si>
  <si>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</si>
  <si>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</si>
  <si>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</si>
  <si>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</si>
  <si>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</si>
  <si>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</si>
  <si>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</si>
  <si>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</si>
  <si>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</si>
  <si>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</si>
  <si>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</si>
  <si>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</si>
  <si>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</si>
  <si>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</si>
  <si>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</si>
  <si>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</si>
  <si>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</si>
  <si>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</si>
  <si>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</si>
  <si>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</si>
  <si>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</si>
  <si>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</si>
  <si>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</si>
  <si>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</si>
  <si>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</si>
  <si>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</si>
  <si>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</si>
  <si>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</si>
  <si>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</si>
  <si>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</si>
  <si>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</si>
  <si>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</si>
  <si>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</si>
  <si>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</si>
  <si>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</si>
  <si>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</si>
  <si>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</si>
  <si>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</si>
  <si>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</si>
  <si>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</si>
  <si>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</si>
  <si>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</si>
  <si>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</si>
  <si>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</si>
  <si>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</si>
  <si>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</si>
  <si>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</si>
  <si>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</si>
  <si>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</si>
  <si>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</si>
  <si>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</si>
  <si>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</si>
  <si>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</si>
  <si>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</si>
  <si>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</si>
  <si>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</si>
  <si>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</si>
  <si>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</si>
  <si>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</si>
  <si>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</si>
  <si>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</si>
  <si>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</si>
  <si>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</si>
  <si>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</si>
  <si>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</si>
  <si>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</si>
  <si>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</si>
  <si>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011900800.IB</t>
  </si>
  <si>
    <t>20190401</t>
  </si>
  <si>
    <t>19西王SCP001</t>
  </si>
  <si>
    <t>041800442.IB</t>
  </si>
  <si>
    <t>20181207</t>
  </si>
  <si>
    <t>18西王CP002</t>
  </si>
  <si>
    <t>011802285.IB</t>
  </si>
  <si>
    <t>20181121</t>
  </si>
  <si>
    <t>18西王SCP005</t>
  </si>
  <si>
    <t>011802249.IB</t>
  </si>
  <si>
    <t>20181119</t>
  </si>
  <si>
    <t>18西王SCP004</t>
  </si>
  <si>
    <t>011802147.IB</t>
  </si>
  <si>
    <t>20181106</t>
  </si>
  <si>
    <t>18西王SCP003</t>
  </si>
  <si>
    <t>041800382.IB</t>
  </si>
  <si>
    <t>20181023</t>
  </si>
  <si>
    <t>18西王CP001</t>
  </si>
  <si>
    <t>011801623.IB</t>
  </si>
  <si>
    <t>20180821</t>
  </si>
  <si>
    <t>18西王SCP002</t>
  </si>
  <si>
    <t>011801372.IB</t>
  </si>
  <si>
    <t>20180723</t>
  </si>
  <si>
    <t>18西王SCP001</t>
  </si>
  <si>
    <t>041772017.IB</t>
  </si>
  <si>
    <t>20171107</t>
  </si>
  <si>
    <t>17西王CP002</t>
  </si>
  <si>
    <t>011754158.IB</t>
  </si>
  <si>
    <t>20171011</t>
  </si>
  <si>
    <t>17西王SCP004</t>
  </si>
  <si>
    <t>011754143.IB</t>
  </si>
  <si>
    <t>20170905</t>
  </si>
  <si>
    <t>17西王SCP003</t>
  </si>
  <si>
    <t>041772012.IB</t>
  </si>
  <si>
    <t>20170822</t>
  </si>
  <si>
    <t>17西王CP001</t>
  </si>
  <si>
    <t>011772008.IB</t>
  </si>
  <si>
    <t>20170227</t>
  </si>
  <si>
    <t>17西王SCP002</t>
  </si>
  <si>
    <t>011772004.IB</t>
  </si>
  <si>
    <t>20170214</t>
  </si>
  <si>
    <t>17西王SCP001</t>
  </si>
  <si>
    <t>114057.SZ</t>
  </si>
  <si>
    <t>20161125</t>
  </si>
  <si>
    <t>16西王08</t>
  </si>
  <si>
    <t>114056.SZ</t>
  </si>
  <si>
    <t>16西王07</t>
  </si>
  <si>
    <t>114032.SZ</t>
  </si>
  <si>
    <t>20161026</t>
  </si>
  <si>
    <t>16西王06</t>
  </si>
  <si>
    <t>011698697.IB</t>
  </si>
  <si>
    <t>16西王SCP005</t>
  </si>
  <si>
    <t>114031.SZ</t>
  </si>
  <si>
    <t>16西王05</t>
  </si>
  <si>
    <t>041667015.IB</t>
  </si>
  <si>
    <t>20161014</t>
  </si>
  <si>
    <t>16西王CP003</t>
  </si>
  <si>
    <t>136720.SH</t>
  </si>
  <si>
    <t>20160921</t>
  </si>
  <si>
    <t>16西王04</t>
  </si>
  <si>
    <t>041667014.IB</t>
  </si>
  <si>
    <t>20160902</t>
  </si>
  <si>
    <t>16西王CP002</t>
  </si>
  <si>
    <t>041654047.IB</t>
  </si>
  <si>
    <t>20160826</t>
  </si>
  <si>
    <t>16西王CP001</t>
  </si>
  <si>
    <t>136613.SH</t>
  </si>
  <si>
    <t>20160804</t>
  </si>
  <si>
    <t>16西王03</t>
  </si>
  <si>
    <t>011698107.IB</t>
  </si>
  <si>
    <t>20160715</t>
  </si>
  <si>
    <t>16西王SCP004</t>
  </si>
  <si>
    <t>136497.SH</t>
  </si>
  <si>
    <t>20160616</t>
  </si>
  <si>
    <t>16西王02</t>
  </si>
  <si>
    <t>011699297.IB</t>
  </si>
  <si>
    <t>20160226</t>
  </si>
  <si>
    <t>16西王SCP003</t>
  </si>
  <si>
    <t>011699172.IB</t>
  </si>
  <si>
    <t>20160125</t>
  </si>
  <si>
    <t>16西王SCP002</t>
  </si>
  <si>
    <t>136154.SH</t>
  </si>
  <si>
    <t>20160115</t>
  </si>
  <si>
    <t>16西王01</t>
  </si>
  <si>
    <t>011699005.IB</t>
  </si>
  <si>
    <t>20160104</t>
  </si>
  <si>
    <t>16西王SCP001</t>
  </si>
  <si>
    <t>011598114.IB</t>
  </si>
  <si>
    <t>20151216</t>
  </si>
  <si>
    <t>15西王SCP007</t>
  </si>
  <si>
    <t>136066.SH</t>
  </si>
  <si>
    <t>20151202</t>
  </si>
  <si>
    <t>15西王01</t>
  </si>
  <si>
    <t>101554084.IB</t>
  </si>
  <si>
    <t>20151123</t>
  </si>
  <si>
    <t>15西王MTN002</t>
  </si>
  <si>
    <t>011599818.IB</t>
  </si>
  <si>
    <t>20151023</t>
  </si>
  <si>
    <t>15西王SCP006</t>
  </si>
  <si>
    <t>041566020.IB</t>
  </si>
  <si>
    <t>20150925</t>
  </si>
  <si>
    <t>15西王CP003</t>
  </si>
  <si>
    <t>041553046.IB</t>
  </si>
  <si>
    <t>20150717</t>
  </si>
  <si>
    <t>15西王CP002</t>
  </si>
  <si>
    <t>011599448.IB</t>
  </si>
  <si>
    <t>20150713</t>
  </si>
  <si>
    <t>15西王SCP005</t>
  </si>
  <si>
    <t>101567001.IB</t>
  </si>
  <si>
    <t>20150507</t>
  </si>
  <si>
    <t>15西王MTN001</t>
  </si>
  <si>
    <t>011599210.IB</t>
  </si>
  <si>
    <t>20150423</t>
  </si>
  <si>
    <t>15西王SCP004</t>
  </si>
  <si>
    <t>011599174.IB</t>
  </si>
  <si>
    <t>20150410</t>
  </si>
  <si>
    <t>15西王SCP003</t>
  </si>
  <si>
    <t>011599147.IB</t>
  </si>
  <si>
    <t>20150401</t>
  </si>
  <si>
    <t>15西王SCP002</t>
  </si>
  <si>
    <t>011599140.IB</t>
  </si>
  <si>
    <t>20150326</t>
  </si>
  <si>
    <t>15西王SCP001</t>
  </si>
  <si>
    <t>041554006.IB</t>
  </si>
  <si>
    <t>20150203</t>
  </si>
  <si>
    <t>15西王CP001</t>
  </si>
  <si>
    <t>031490436.IB</t>
  </si>
  <si>
    <t>20140528</t>
  </si>
  <si>
    <t>14西王PPN001</t>
  </si>
  <si>
    <t>041452019.IB</t>
  </si>
  <si>
    <t>20140404</t>
  </si>
  <si>
    <t>14西王CP003</t>
  </si>
  <si>
    <t>041453041.IB</t>
  </si>
  <si>
    <t>20140402</t>
  </si>
  <si>
    <t>14西王CP002</t>
  </si>
  <si>
    <t>041455004.IB</t>
  </si>
  <si>
    <t>20140214</t>
  </si>
  <si>
    <t>14西王CP001</t>
  </si>
  <si>
    <t>101453002.IB</t>
  </si>
  <si>
    <t>20140212</t>
  </si>
  <si>
    <t>14西王MTN001</t>
  </si>
  <si>
    <t>041352016.IB</t>
  </si>
  <si>
    <t>20130419</t>
  </si>
  <si>
    <t>13西王CP002</t>
  </si>
  <si>
    <t>041352005.IB</t>
  </si>
  <si>
    <t>20130312</t>
  </si>
  <si>
    <t>13西王CP001</t>
  </si>
  <si>
    <t>1382083.IB</t>
  </si>
  <si>
    <t>20130306</t>
  </si>
  <si>
    <t>13西王MTN2</t>
  </si>
  <si>
    <t>1382003.IB</t>
  </si>
  <si>
    <t>20130109</t>
  </si>
  <si>
    <t>13西王MTN1</t>
  </si>
  <si>
    <t>041252005.IB</t>
  </si>
  <si>
    <t>20120220</t>
  </si>
  <si>
    <t>12西王CP001</t>
  </si>
  <si>
    <t>1182148.IB</t>
  </si>
  <si>
    <t>20110505</t>
  </si>
  <si>
    <t>11西王MTN1</t>
  </si>
  <si>
    <t>1081429.IB</t>
  </si>
  <si>
    <t>20101216</t>
  </si>
  <si>
    <t>10西王CP02</t>
  </si>
  <si>
    <t>1081327.IB</t>
  </si>
  <si>
    <t>20100917</t>
  </si>
  <si>
    <t>10西王CP01</t>
  </si>
  <si>
    <t>最新前五大股东（持股比例）</t>
  </si>
  <si>
    <t>历史主体评级</t>
  </si>
  <si>
    <t>发布日期</t>
  </si>
  <si>
    <t>主体资信级别</t>
  </si>
  <si>
    <t>评级展望</t>
  </si>
  <si>
    <t>评级机构</t>
  </si>
  <si>
    <t>20181108</t>
  </si>
  <si>
    <t>稳定</t>
  </si>
  <si>
    <t>东方金诚国际信用评估有限公司</t>
  </si>
  <si>
    <t>20180912</t>
  </si>
  <si>
    <t>20180803</t>
  </si>
  <si>
    <t>大公国际资信评估有限公司</t>
  </si>
  <si>
    <t>20180531</t>
  </si>
  <si>
    <t>AA</t>
  </si>
  <si>
    <t>20180224</t>
  </si>
  <si>
    <t>负面</t>
  </si>
  <si>
    <t>20171012</t>
  </si>
  <si>
    <t>20170706</t>
  </si>
  <si>
    <t>20170116</t>
  </si>
  <si>
    <t>20161221</t>
  </si>
  <si>
    <t>20160721</t>
  </si>
  <si>
    <t>20160628</t>
  </si>
  <si>
    <t>20160608</t>
  </si>
  <si>
    <t>20160531</t>
  </si>
  <si>
    <t>20151224</t>
  </si>
  <si>
    <t>20151209</t>
  </si>
  <si>
    <t>20150921</t>
  </si>
  <si>
    <t>20150817</t>
  </si>
  <si>
    <t>20150630</t>
  </si>
  <si>
    <t>20150320</t>
  </si>
  <si>
    <t>20141231</t>
  </si>
  <si>
    <t>20141029</t>
  </si>
  <si>
    <t>20140716</t>
  </si>
  <si>
    <t>20140305</t>
  </si>
  <si>
    <t>20140210</t>
  </si>
  <si>
    <t>20131022</t>
  </si>
  <si>
    <t>20130630</t>
  </si>
  <si>
    <t>20130320</t>
  </si>
  <si>
    <t>20130115</t>
  </si>
  <si>
    <t>20121129</t>
  </si>
  <si>
    <t>20121025</t>
  </si>
  <si>
    <t>20120924</t>
  </si>
  <si>
    <t>20120615</t>
  </si>
  <si>
    <t>20111228</t>
  </si>
  <si>
    <t>20110630</t>
  </si>
  <si>
    <t>AA-</t>
  </si>
  <si>
    <t>20110406</t>
  </si>
  <si>
    <t>20110224</t>
  </si>
  <si>
    <t>20100609</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</si>
  <si>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</si>
  <si>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</si>
  <si>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</si>
  <si>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</si>
  <si>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</si>
  <si>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</si>
  <si>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</si>
  <si>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</si>
  <si>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</si>
  <si>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西王集团有限公司</t>
  </si>
  <si>
    <t>维持AA+级评级</t>
  </si>
  <si>
    <t>北京首农食品集团有限公司</t>
  </si>
  <si>
    <t>AA+稳定上调至AAA稳定</t>
  </si>
  <si>
    <t>联合资信评估有限公司</t>
  </si>
  <si>
    <t>公司承担着北京市和部分中央的政策性粮油储备职能，已开发保障房项目受到北京市政府有力支持，新成立的财务公司有利于加强资金集中管理，成为上市公司第一大股东有利于丰富融资渠道，盈利能力有所提高。</t>
  </si>
  <si>
    <t>北京顺鑫农业股份有限公司</t>
  </si>
  <si>
    <t>AA稳定上调至AA+稳定</t>
  </si>
  <si>
    <t>2017年以来，公司持续聚焦优化经营格局，在剥离盈利能力及竞争实力相对较
弱的建筑工程业务后，综合盈利能力得到明显提升。公司经营活动净现金流同比大幅提升，有息债务规模持续收缩，偿债能力进一步增强。未来，随着大众消费水平、外埠市场产品结构逐步升级及牛栏山升级改造项目投产，公司白酒制造业务规模有望保持较快增速，盈利能力保持良好水平。</t>
  </si>
  <si>
    <t>苏州市农业发展集团有限公司</t>
  </si>
  <si>
    <t>中诚信证券评估有限公司</t>
  </si>
  <si>
    <t>公司所处区域经营环境良好，享受到政策支持力度较大，资本实力有所提升以及相关板块业务具有较好的发展前景。</t>
  </si>
  <si>
    <t>宁夏农垦集团有限公司</t>
  </si>
  <si>
    <t>鹏元资信评估有限公司</t>
  </si>
  <si>
    <t>公司作为宁夏地区最大的现代农业企业，经营范围广，产业链逐步完善，政府对公司支持力度较大，同时新注入的土地提升了公司整体实力。</t>
  </si>
  <si>
    <t>近一年来同行业发债企业主体评级下调情况</t>
  </si>
  <si>
    <t>主体资信级别下调</t>
  </si>
  <si>
    <t>主体评级展望下调</t>
  </si>
  <si>
    <t>河南众品食品有限公司</t>
  </si>
  <si>
    <t>BB下调至C</t>
  </si>
  <si>
    <t xml:space="preserve">公司于2019 年1 月11 日发布《河南众品食品有限公司2017 年度第一期中期票据到期本息兑付存在不确定性的特别风险提示公告》， 称其资金紧张， 融资受限， 流动性存在压力， “ 17 众品MTNO 01 ” 到期本息兑付存在不确定性， 但其仍在积极筹措偿债资金。
</t>
  </si>
  <si>
    <t>河南众品食业股份有限公司</t>
  </si>
  <si>
    <t>AA-负面下调至C</t>
  </si>
  <si>
    <t>洛娃科技实业集团有限公司</t>
  </si>
  <si>
    <t>B下调至C</t>
  </si>
  <si>
    <t>联合信用评级有限公司</t>
  </si>
  <si>
    <t xml:space="preserve">根据公司于2018 年12 月6 日发布的《洛娃科技实业集团有限公司2017 年度第一期短期融资券未按时足额偿付债务融资工具本息的公告》公司未能按期足额偿付“17洛娃科技CP001” 本息，构成实质性违约。公司再融资渠道受阻，“ 15洛娃01 ” 将于2018 年12 月28 日全额（ 10 亿元） 回售，公司面临回售偿本付息压力。
</t>
  </si>
  <si>
    <t>雏鹰农牧集团股份有限公司</t>
  </si>
  <si>
    <t>AA稳定下调至C</t>
  </si>
  <si>
    <t>“18雏鹰农牧SCP001”未能按期足额兑付本息，已构成实质性违约。</t>
  </si>
  <si>
    <t>皇氏集团股份有限公司</t>
  </si>
  <si>
    <t>AA稳定下调至AA负面</t>
  </si>
  <si>
    <t>受转让子公司盛世骄阳股权形成投资损失0.90 亿元影响，2018 年上半年出现经营亏损；受子公司盛世骄阳和御嘉影视销售商品提供劳务收到的现金减少影响，公司经营性净现金流弱化；受影视剧监管政策趋严影响，子公司御嘉影视电视剧制作发行进度放缓致净利润下滑；公司收购御嘉影视形成商誉规模仍较大，若未来经营不及预期，相关商誉资产仍存在一定减值风险；公司转让盛世骄阳股权至宁波智莲的工商变更手续完成，宁波智莲承接公司享有的盛世骄阳相关债权并为公司对盛世骄阳担保金额提供反担保，若后续盛世骄阳及宁波智莲经营不达预期，相关债权将存在部分或全部不能收回风险也将增加公司相关债务。</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</si>
  <si>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</si>
  <si>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</si>
  <si>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</si>
  <si>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</si>
  <si>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</si>
  <si>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</si>
  <si>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</si>
  <si>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</si>
  <si>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</si>
  <si>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</si>
  <si>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</si>
  <si>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</si>
  <si>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</si>
  <si>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</si>
  <si>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</si>
  <si>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</si>
  <si>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</si>
  <si>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</si>
  <si>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</si>
  <si>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</si>
  <si>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</si>
  <si>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</si>
  <si>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</si>
  <si>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</si>
  <si>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</si>
  <si>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民营企业</t>
  </si>
  <si>
    <t>日常消费--食品、饮料与烟草--食品--食品加工与肉类</t>
  </si>
  <si>
    <t>山东省滨州市邹平市西王工业园</t>
  </si>
  <si>
    <t>公司牢固树立“质量是生命”的核心经营思想，不断加强各类体系建设，积极推行卓越绩效管理模式，精心铸造品牌。公司通过了ISO9001：2000质量管理体系认证、ISO14001：2004环境管理体系及HACCP食品安全体系等相关认证，被山东省政府授予“山东省质量管理奖”。西王牌淀粉糖、西王牌玉米油、西王牌螺纹钢、西王牌糊精等8个产品先后被评为山东名牌产品，西王商标被认定为中国驰名商标，淀粉糖系列产品被评为中国名牌产品。</t>
  </si>
  <si>
    <t>王勇</t>
  </si>
  <si>
    <t>王明鹤</t>
  </si>
  <si>
    <t>王亮</t>
  </si>
  <si>
    <t>王刚</t>
  </si>
  <si>
    <t>王栋</t>
  </si>
  <si>
    <t>A-1</t>
  </si>
  <si>
    <t>AAA</t>
  </si>
  <si>
    <t>中粮屯河糖业股份有限公司</t>
  </si>
  <si>
    <t>北京大北农科技集团股份有限公司</t>
  </si>
  <si>
    <t>通威股份有限公司</t>
  </si>
  <si>
    <t>梅花生物科技集团股份有限公司</t>
  </si>
  <si>
    <t>安琪酵母股份有限公司</t>
  </si>
  <si>
    <t>广东海大集团股份有限公司</t>
  </si>
  <si>
    <t>中央国有企业</t>
  </si>
  <si>
    <t>地方国有企业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</si>
</sst>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西王集团有限公司</v>
      </c>
      <c r="C4" s="120"/>
      <c r="D4" s="57" t="s">
        <v>3</v>
      </c>
      <c r="E4" s="119" t="str">
        <f>[1]!s_info_nature(A2)</f>
        <v>民营企业</v>
      </c>
      <c r="F4" s="120"/>
      <c r="G4" s="120"/>
      <c r="H4" s="19"/>
    </row>
    <row r="5" spans="1:20" s="17" customFormat="1" ht="14.25" customHeight="1" x14ac:dyDescent="0.25">
      <c r="A5" s="57" t="s">
        <v>4</v>
      </c>
      <c r="B5" s="119" t="str">
        <f>[1]!b_issuer_windindustry(A2,9)</f>
        <v>日常消费--食品、饮料与烟草--食品--食品加工与肉类</v>
      </c>
      <c r="C5" s="120"/>
      <c r="D5" s="57" t="s">
        <v>5</v>
      </c>
      <c r="E5" s="119" t="str">
        <f>[1]!b_issuer_regaddress(A2)</f>
        <v>山东省滨州市邹平市西王工业园</v>
      </c>
      <c r="F5" s="120"/>
      <c r="G5" s="120"/>
    </row>
    <row r="6" spans="1:20" s="17" customFormat="1" ht="81" customHeight="1" x14ac:dyDescent="0.25">
      <c r="A6" s="57" t="s">
        <v>6</v>
      </c>
      <c r="B6" s="121" t="str">
        <f>[1]!s_info_briefing(A2)</f>
        <v>公司牢固树立“质量是生命”的核心经营思想，不断加强各类体系建设，积极推行卓越绩效管理模式，精心铸造品牌。公司通过了ISO9001：2000质量管理体系认证、ISO14001：2004环境管理体系及HACCP食品安全体系等相关认证，被山东省政府授予“山东省质量管理奖”。西王牌淀粉糖、西王牌玉米油、西王牌螺纹钢、西王牌糊精等8个产品先后被评为山东名牌产品，西王商标被认定为中国驰名商标，淀粉糖系列产品被评为中国名牌产品。</v>
      </c>
      <c r="C6" s="120"/>
      <c r="D6" s="120"/>
      <c r="E6" s="120"/>
      <c r="F6" s="120"/>
      <c r="G6" s="120"/>
    </row>
    <row r="7" spans="1:20" s="17" customFormat="1" x14ac:dyDescent="0.25">
      <c r="A7" s="59" t="s">
        <v>7</v>
      </c>
      <c r="B7" s="122" t="str">
        <f>[1]!b_issuer_shareholder(A2,"",1)</f>
        <v>王勇</v>
      </c>
      <c r="C7" s="120"/>
      <c r="D7" s="120"/>
      <c r="E7" s="120"/>
      <c r="F7" s="61">
        <f>[1]!b_issuer_propofshareholder($A$2,"",1)%</f>
        <v>0.69150001525878901</v>
      </c>
      <c r="G7" s="60"/>
      <c r="H7" s="20" t="s">
        <v>8</v>
      </c>
      <c r="M7" s="24">
        <v>42004</v>
      </c>
      <c r="N7" s="24">
        <v>42369</v>
      </c>
      <c r="O7" s="24">
        <v>41639</v>
      </c>
      <c r="P7" s="62" t="s">
        <v>9</v>
      </c>
      <c r="Q7" s="62" t="s">
        <v>10</v>
      </c>
      <c r="R7" s="62" t="s">
        <v>11</v>
      </c>
    </row>
    <row r="8" spans="1:20" s="17" customFormat="1" x14ac:dyDescent="0.25">
      <c r="A8" s="59"/>
      <c r="B8" s="122" t="str">
        <f>[1]!b_issuer_shareholder(A2,"",2)</f>
        <v>王明鹤</v>
      </c>
      <c r="C8" s="120"/>
      <c r="D8" s="120"/>
      <c r="E8" s="120"/>
      <c r="F8" s="61">
        <f>[1]!b_issuer_propofshareholder($A$2,"",2)%</f>
        <v>2.6600000858306886E-2</v>
      </c>
      <c r="G8" s="60"/>
      <c r="H8" s="20"/>
      <c r="M8" s="25"/>
      <c r="O8" s="25"/>
      <c r="P8" s="63"/>
    </row>
    <row r="9" spans="1:20" s="17" customFormat="1" x14ac:dyDescent="0.25">
      <c r="A9" s="59"/>
      <c r="B9" s="122" t="str">
        <f>[1]!b_issuer_shareholder(A2,"",3)</f>
        <v>王亮</v>
      </c>
      <c r="C9" s="120"/>
      <c r="D9" s="120"/>
      <c r="E9" s="120"/>
      <c r="F9" s="61">
        <f>[1]!b_issuer_propofshareholder($A$2,"",3)%</f>
        <v>2.309999942779541E-2</v>
      </c>
      <c r="G9" s="60"/>
      <c r="H9" s="20"/>
      <c r="M9" s="25"/>
      <c r="O9" s="25"/>
      <c r="P9" s="63"/>
    </row>
    <row r="10" spans="1:20" s="17" customFormat="1" x14ac:dyDescent="0.25">
      <c r="A10" s="59"/>
      <c r="B10" s="122" t="str">
        <f>[1]!b_issuer_shareholder(A2,"",4)</f>
        <v>王刚</v>
      </c>
      <c r="C10" s="120"/>
      <c r="D10" s="120"/>
      <c r="E10" s="120"/>
      <c r="F10" s="61">
        <f>[1]!b_issuer_propofshareholder($A$2,"",4)%</f>
        <v>2.309999942779541E-2</v>
      </c>
      <c r="G10" s="60"/>
      <c r="H10" s="20"/>
      <c r="M10" s="25"/>
      <c r="O10" s="25"/>
      <c r="P10" s="63"/>
    </row>
    <row r="11" spans="1:20" s="17" customFormat="1" x14ac:dyDescent="0.25">
      <c r="A11" s="59"/>
      <c r="B11" s="122" t="str">
        <f>[1]!b_issuer_shareholder(A2,"",5)</f>
        <v>王栋</v>
      </c>
      <c r="C11" s="120"/>
      <c r="D11" s="120"/>
      <c r="E11" s="120"/>
      <c r="F11" s="61">
        <f>[1]!b_issuer_propofshareholder($A$2,"",5)%</f>
        <v>2.309999942779541E-2</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d19041610.IB</v>
      </c>
      <c r="K14" s="26"/>
      <c r="L14" s="27" t="str">
        <f>T15</f>
        <v>101652029.IB</v>
      </c>
      <c r="M14" s="27" t="str">
        <f>T16</f>
        <v>031456001.IB</v>
      </c>
      <c r="N14" s="27" t="str">
        <f>T17</f>
        <v>112203.SZ</v>
      </c>
      <c r="O14" s="27" t="str">
        <f>T18</f>
        <v>122164.SH</v>
      </c>
      <c r="P14" s="27" t="str">
        <f>T19</f>
        <v>1182401.IB</v>
      </c>
      <c r="Q14" s="27" t="str">
        <f>T20</f>
        <v>1382112.IB</v>
      </c>
      <c r="R14" s="5" t="str">
        <f>T21</f>
        <v>112047.SZ</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西王集团有限公司</v>
      </c>
      <c r="K15" s="138"/>
      <c r="L15" s="8" t="str">
        <f>[1]!b_info_issuer(L14)</f>
        <v>中粮屯河糖业股份有限公司</v>
      </c>
      <c r="M15" s="8" t="str">
        <f>[1]!b_info_issuer(M14)</f>
        <v>北京顺鑫农业股份有限公司</v>
      </c>
      <c r="N15" s="8" t="str">
        <f>[1]!b_info_issuer(N14)</f>
        <v>北京大北农科技集团股份有限公司</v>
      </c>
      <c r="O15" s="8" t="str">
        <f>[1]!b_info_issuer(O14)</f>
        <v>通威股份有限公司</v>
      </c>
      <c r="P15" s="8" t="str">
        <f>[1]!b_info_issuer(P14)</f>
        <v>梅花生物科技集团股份有限公司</v>
      </c>
      <c r="Q15" s="8" t="str">
        <f>[1]!b_info_issuer(Q14)</f>
        <v>安琪酵母股份有限公司</v>
      </c>
      <c r="R15" s="8" t="str">
        <f>[1]!b_info_issuer(R14)</f>
        <v>广东海大集团股份有限公司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民营企业</v>
      </c>
      <c r="K17" s="124"/>
      <c r="L17" s="67" t="str">
        <f>[1]!s_info_nature(L14)</f>
        <v>中央国有企业</v>
      </c>
      <c r="M17" s="67" t="str">
        <f>[1]!s_info_nature(M14)</f>
        <v>地方国有企业</v>
      </c>
      <c r="N17" s="67" t="str">
        <f>[1]!s_info_nature(N14)</f>
        <v>民营企业</v>
      </c>
      <c r="O17" s="67" t="str">
        <f>[1]!s_info_nature(O14)</f>
        <v>民营企业</v>
      </c>
      <c r="P17" s="67" t="str">
        <f>[1]!s_info_nature(P14)</f>
        <v>民营企业</v>
      </c>
      <c r="Q17" s="67" t="str">
        <f>[1]!s_info_nature(Q14)</f>
        <v>地方国有企业</v>
      </c>
      <c r="R17" s="67" t="str">
        <f>[1]!s_info_nature(R14)</f>
        <v>民营企业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471.67531802050001</v>
      </c>
      <c r="K19" s="124"/>
      <c r="L19" s="68">
        <f>[1]!b_stm07_bs(L14,74,L13,1)/100000000</f>
        <v>171.0244765237</v>
      </c>
      <c r="M19" s="68">
        <f>[1]!b_stm07_bs(M14,74,M13,1)/100000000</f>
        <v>184.12037106619999</v>
      </c>
      <c r="N19" s="68">
        <f>[1]!b_stm07_bs(N14,74,N13,1)/100000000</f>
        <v>192.57822745269999</v>
      </c>
      <c r="O19" s="68">
        <f>[1]!b_stm07_bs(O14,74,O13,1)/100000000</f>
        <v>255.4845722773</v>
      </c>
      <c r="P19" s="68">
        <f>[1]!b_stm07_bs(P14,74,P13,1)/100000000</f>
        <v>171.0191500375</v>
      </c>
      <c r="Q19" s="68">
        <f>[1]!b_stm07_bs(Q14,74,Q13,1)/100000000</f>
        <v>80.273274030500005</v>
      </c>
      <c r="R19" s="68">
        <f>[1]!b_stm07_bs(R14,74,R13,1)/100000000</f>
        <v>131.6045670293</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0.63773000000000002</v>
      </c>
      <c r="K20" s="124"/>
      <c r="L20" s="10">
        <f>[1]!s_fa_debttoassets(L14,L13)/100</f>
        <v>0.57264199999999998</v>
      </c>
      <c r="M20" s="10">
        <f>[1]!s_fa_debttoassets(M14,M13)/100</f>
        <v>0.61290699999999998</v>
      </c>
      <c r="N20" s="10">
        <f>[1]!s_fa_debttoassets(N14,N13)/100</f>
        <v>0.38896200000000003</v>
      </c>
      <c r="O20" s="10">
        <f>[1]!s_fa_debttoassets(O14,O13)/100</f>
        <v>0.46356900000000001</v>
      </c>
      <c r="P20" s="10">
        <f>[1]!s_fa_debttoassets(P14,P13)/100</f>
        <v>0.45267000000000002</v>
      </c>
      <c r="Q20" s="10">
        <f>[1]!s_fa_debttoassets(Q14,Q13)/100</f>
        <v>0.49005399999999999</v>
      </c>
      <c r="R20" s="10">
        <f>[1]!s_fa_debttoassets(R14,R13)/100</f>
        <v>0.48049500000000001</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1.0045999999999999</v>
      </c>
      <c r="K21" s="124"/>
      <c r="L21" s="68">
        <f>[1]!s_fa_current(L14,L13)</f>
        <v>1.2508999999999999</v>
      </c>
      <c r="M21" s="68">
        <f>[1]!s_fa_current(M14,M13)</f>
        <v>1.6934</v>
      </c>
      <c r="N21" s="68">
        <f>[1]!s_fa_current(N14,N13)</f>
        <v>1.3441000000000001</v>
      </c>
      <c r="O21" s="68">
        <f>[1]!s_fa_current(O14,O13)</f>
        <v>0.79420000000000002</v>
      </c>
      <c r="P21" s="68">
        <f>[1]!s_fa_current(P14,P13)</f>
        <v>1.1163000000000001</v>
      </c>
      <c r="Q21" s="68">
        <f>[1]!s_fa_current(Q14,Q13)</f>
        <v>1.0096000000000001</v>
      </c>
      <c r="R21" s="68">
        <f>[1]!s_fa_current(R14,R13)</f>
        <v>1.1462000000000001</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1.2342945316337399</v>
      </c>
      <c r="K22" s="124"/>
      <c r="L22" s="66">
        <f>(公式页!L96+公式页!L97+公式页!L98+公式页!L99+公式页!L100+公式页!L101)/公式页!L103</f>
        <v>0.98558660484410865</v>
      </c>
      <c r="M22" s="66">
        <f t="shared" ref="M22:R22" si="0">(M96+M97+M98+M99+M100+M101)/M103</f>
        <v>0.91525049521491464</v>
      </c>
      <c r="N22" s="66">
        <f t="shared" si="0"/>
        <v>0.20139655987304594</v>
      </c>
      <c r="O22" s="66">
        <f t="shared" si="0"/>
        <v>0.38331267874133229</v>
      </c>
      <c r="P22" s="66">
        <f t="shared" si="0"/>
        <v>0.65360022064966095</v>
      </c>
      <c r="Q22" s="66">
        <f t="shared" si="0"/>
        <v>0.61066954461321088</v>
      </c>
      <c r="R22" s="66">
        <f t="shared" si="0"/>
        <v>0.33773741225592713</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0.12039999999999999</v>
      </c>
      <c r="K23" s="124"/>
      <c r="L23" s="68">
        <f>[1]!s_fa_ebitdatodebt(L14,L13)</f>
        <v>0.18410000000000001</v>
      </c>
      <c r="M23" s="68">
        <f>[1]!s_fa_ebitdatodebt(M14,M13)</f>
        <v>9.1399999999999995E-2</v>
      </c>
      <c r="N23" s="68">
        <f>[1]!s_fa_ebitdatodebt(N14,N13)</f>
        <v>0.28910000000000002</v>
      </c>
      <c r="O23" s="68">
        <f>[1]!s_fa_ebitdatodebt(O14,O13)</f>
        <v>0.30059999999999998</v>
      </c>
      <c r="P23" s="68">
        <f>[1]!s_fa_ebitdatodebt(P14,P13)</f>
        <v>0.3674</v>
      </c>
      <c r="Q23" s="68">
        <f>[1]!s_fa_ebitdatodebt(Q14,Q13)</f>
        <v>0.35449999999999998</v>
      </c>
      <c r="R23" s="68">
        <f>[1]!s_fa_ebitdatodebt(R14,R13)</f>
        <v>0.31480000000000002</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354.52295590969999</v>
      </c>
      <c r="K24" s="124"/>
      <c r="L24" s="68">
        <f>[1]!b_stm07_is(L14,9,L13,1)/100000000</f>
        <v>191.5720981531</v>
      </c>
      <c r="M24" s="68">
        <f>[1]!b_stm07_is(M14,9,M13,1)/100000000</f>
        <v>117.338432058</v>
      </c>
      <c r="N24" s="68">
        <f>[1]!b_stm07_is(N14,9,N13,1)/100000000</f>
        <v>187.41738574130002</v>
      </c>
      <c r="O24" s="68">
        <f>[1]!b_stm07_is(O14,9,O13,1)/100000000</f>
        <v>260.89241032169997</v>
      </c>
      <c r="P24" s="68">
        <f>[1]!b_stm07_is(P14,9,P13,1)/100000000</f>
        <v>111.32161082330001</v>
      </c>
      <c r="Q24" s="68">
        <f>[1]!b_stm07_is(Q14,9,Q13,1)/100000000</f>
        <v>57.7572816088</v>
      </c>
      <c r="R24" s="68">
        <f>[1]!b_stm07_is(R14,9,R13,1)/100000000</f>
        <v>325.56634127379999</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1.1595</v>
      </c>
      <c r="K25" s="124"/>
      <c r="L25" s="11">
        <f>[1]!s_fa_salescashintoor(L14,L13)%</f>
        <v>1.1539999999999999</v>
      </c>
      <c r="M25" s="11">
        <f>[1]!s_fa_salescashintoor(M14,M13)%</f>
        <v>1.3304</v>
      </c>
      <c r="N25" s="11">
        <f>[1]!s_fa_salescashintoor(N14,N13)%</f>
        <v>0.97389999999999999</v>
      </c>
      <c r="O25" s="11">
        <f>[1]!s_fa_salescashintoor(O14,O13)%</f>
        <v>0.77459999999999996</v>
      </c>
      <c r="P25" s="11">
        <f>[1]!s_fa_salescashintoor(P14,P13)%</f>
        <v>1.0130999999999999</v>
      </c>
      <c r="Q25" s="11">
        <f>[1]!s_fa_salescashintoor(Q14,Q13)%</f>
        <v>1.1292</v>
      </c>
      <c r="R25" s="11">
        <f>[1]!s_fa_salescashintoor(R14,R13)%</f>
        <v>1.0303</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0.15006800000000001</v>
      </c>
      <c r="K26" s="124"/>
      <c r="L26" s="11">
        <f>[1]!s_fa_grossprofitmargin(L14,L13)%</f>
        <v>0.16168600000000002</v>
      </c>
      <c r="M26" s="11">
        <f>[1]!s_fa_grossprofitmargin(M14,M13)%</f>
        <v>0.339231</v>
      </c>
      <c r="N26" s="11">
        <f>[1]!s_fa_grossprofitmargin(N14,N13)%</f>
        <v>0.241705</v>
      </c>
      <c r="O26" s="11">
        <f>[1]!s_fa_grossprofitmargin(O14,O13)%</f>
        <v>0.19416799999999998</v>
      </c>
      <c r="P26" s="11">
        <f>[1]!s_fa_grossprofitmargin(P14,P13)%</f>
        <v>0.25806600000000002</v>
      </c>
      <c r="Q26" s="11">
        <f>[1]!s_fa_grossprofitmargin(Q14,Q13)%</f>
        <v>0.37638500000000003</v>
      </c>
      <c r="R26" s="11">
        <f>[1]!s_fa_grossprofitmargin(R14,R13)%</f>
        <v>0.109872</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8.9916324976999995</v>
      </c>
      <c r="K27" s="124"/>
      <c r="L27" s="69">
        <f>[1]!b_stm07_is(L14,60,L13,1)/100000000</f>
        <v>7.5400322795000001</v>
      </c>
      <c r="M27" s="69">
        <f>[1]!b_stm07_is(M14,60,M13,1)/100000000</f>
        <v>4.4238815548000003</v>
      </c>
      <c r="N27" s="69">
        <f>[1]!b_stm07_is(N14,60,N13,1)/100000000</f>
        <v>13.1813622546</v>
      </c>
      <c r="O27" s="69">
        <f>[1]!b_stm07_is(O14,60,O13,1)/100000000</f>
        <v>20.414107140399999</v>
      </c>
      <c r="P27" s="69">
        <f>[1]!b_stm07_is(P14,60,P13,1)/100000000</f>
        <v>11.9603691483</v>
      </c>
      <c r="Q27" s="69">
        <f>[1]!b_stm07_is(Q14,60,Q13,1)/100000000</f>
        <v>8.9266592062000001</v>
      </c>
      <c r="R27" s="69">
        <f>[1]!b_stm07_is(R14,60,R13,1)/100000000</f>
        <v>12.264597135699999</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2.6988999999999999E-2</v>
      </c>
      <c r="K28" s="124"/>
      <c r="L28" s="10">
        <f>[1]!s_fa_roe(L14,L13)%</f>
        <v>0.10701000000000001</v>
      </c>
      <c r="M28" s="10">
        <f>[1]!s_fa_roe(M14,M13)%</f>
        <v>6.337799999999999E-2</v>
      </c>
      <c r="N28" s="10">
        <f>[1]!s_fa_roe(N14,N13)%</f>
        <v>0.12998300000000002</v>
      </c>
      <c r="O28" s="10">
        <f>[1]!s_fa_roe(O14,O13)%</f>
        <v>0.16085199999999999</v>
      </c>
      <c r="P28" s="10">
        <f>[1]!s_fa_roe(P14,P13)%</f>
        <v>0.129187</v>
      </c>
      <c r="Q28" s="10">
        <f>[1]!s_fa_roe(Q14,Q13)%</f>
        <v>0.23877300000000001</v>
      </c>
      <c r="R28" s="10">
        <f>[1]!s_fa_roe(R14,R13)%</f>
        <v>0.19914200000000001</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48.069211593299997</v>
      </c>
      <c r="K29" s="124"/>
      <c r="L29" s="69">
        <f>[1]!b_stm07_cs(L14,39,L13,1)/100000000</f>
        <v>53.553632098800001</v>
      </c>
      <c r="M29" s="69">
        <f>[1]!b_stm07_cs(M14,39,M13,1)/100000000</f>
        <v>24.708648498500001</v>
      </c>
      <c r="N29" s="69">
        <f>[1]!b_stm07_cs(N14,39,N13,1)/100000000</f>
        <v>7.1502280100000002</v>
      </c>
      <c r="O29" s="69">
        <f>[1]!b_stm07_cs(O14,39,O13,1)/100000000</f>
        <v>29.158360722399998</v>
      </c>
      <c r="P29" s="69">
        <f>[1]!b_stm07_cs(P14,39,P13,1)/100000000</f>
        <v>15.441088163900002</v>
      </c>
      <c r="Q29" s="69">
        <f>[1]!b_stm07_cs(Q14,39,Q13,1)/100000000</f>
        <v>11.218481629200001</v>
      </c>
      <c r="R29" s="69">
        <f>[1]!b_stm07_cs(R14,39,R13,1)/100000000</f>
        <v>4.9422145584999999</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3280652000</v>
      </c>
      <c r="K96" s="71"/>
      <c r="L96" s="71">
        <f>[1]!b_stm07_bs(L14,75,L13,1)</f>
        <v>6181725043.8100004</v>
      </c>
      <c r="M96" s="71">
        <f>[1]!b_stm07_bs(M14,75,M13,1)</f>
        <v>3400000000</v>
      </c>
      <c r="N96" s="71">
        <f>[1]!b_stm07_bs(N14,75,N13,1)</f>
        <v>1802503397.1700001</v>
      </c>
      <c r="O96" s="71">
        <f>[1]!b_stm07_bs(O14,75,O13,1)</f>
        <v>4012959344.5700002</v>
      </c>
      <c r="P96" s="71">
        <f>[1]!b_stm07_bs(P14,75,P13,1)</f>
        <v>2768494000</v>
      </c>
      <c r="Q96" s="71">
        <f>[1]!b_stm07_bs(Q14,75,Q13,1)</f>
        <v>1585915666.6900001</v>
      </c>
      <c r="R96" s="71">
        <f>[1]!b_stm07_bs(R14,75,R13,1)</f>
        <v>2303898763.6999998</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419002880.5</v>
      </c>
      <c r="K97" s="71"/>
      <c r="L97" s="71">
        <f>[1]!b_stm07_bs(L14,82,L13,1)</f>
        <v>25751977.890000001</v>
      </c>
      <c r="M97" s="71">
        <f>[1]!b_stm07_bs(M14,82,M13,1)</f>
        <v>0</v>
      </c>
      <c r="N97" s="71">
        <f>[1]!b_stm07_bs(N14,82,N13,1)</f>
        <v>67710002.640000001</v>
      </c>
      <c r="O97" s="71">
        <f>[1]!b_stm07_bs(O14,82,O13,1)</f>
        <v>7456891.46</v>
      </c>
      <c r="P97" s="71">
        <f>[1]!b_stm07_bs(P14,82,P13,1)</f>
        <v>58469367.299999997</v>
      </c>
      <c r="Q97" s="71">
        <f>[1]!b_stm07_bs(Q14,82,Q13,1)</f>
        <v>9828365.9100000001</v>
      </c>
      <c r="R97" s="71">
        <f>[1]!b_stm07_bs(R14,82,R13,1)</f>
        <v>5188104.75</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125296867.90000001</v>
      </c>
      <c r="K98" s="71"/>
      <c r="L98" s="71">
        <f>[1]!b_stm07_bs(L14,88,L13,1)</f>
        <v>0</v>
      </c>
      <c r="M98" s="71">
        <f>[1]!b_stm07_bs(M14,88,M13,1)</f>
        <v>300000000</v>
      </c>
      <c r="N98" s="71">
        <f>[1]!b_stm07_bs(N14,88,N13,1)</f>
        <v>10000</v>
      </c>
      <c r="O98" s="71">
        <f>[1]!b_stm07_bs(O14,88,O13,1)</f>
        <v>224497097.78</v>
      </c>
      <c r="P98" s="71">
        <f>[1]!b_stm07_bs(P14,88,P13,1)</f>
        <v>0</v>
      </c>
      <c r="Q98" s="71">
        <f>[1]!b_stm07_bs(Q14,88,Q13,1)</f>
        <v>2000000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6441033562.5600004</v>
      </c>
      <c r="K100" s="71"/>
      <c r="L100" s="71">
        <f>[1]!b_stm07_bs(L14,94,L13,1)</f>
        <v>0</v>
      </c>
      <c r="M100" s="71">
        <f>[1]!b_stm07_bs(M14,94,M13,1)</f>
        <v>789217400</v>
      </c>
      <c r="N100" s="71">
        <f>[1]!b_stm07_bs(N14,94,N13,1)</f>
        <v>0</v>
      </c>
      <c r="O100" s="71">
        <f>[1]!b_stm07_bs(O14,94,O13,1)</f>
        <v>1008383717</v>
      </c>
      <c r="P100" s="71">
        <f>[1]!b_stm07_bs(P14,94,P13,1)</f>
        <v>300000000</v>
      </c>
      <c r="Q100" s="71">
        <f>[1]!b_stm07_bs(Q14,94,Q13,1)</f>
        <v>902034500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10824882755.799999</v>
      </c>
      <c r="K101" s="71"/>
      <c r="L101" s="71">
        <f>[1]!b_stm07_bs(L14,95,L13,1)</f>
        <v>996040217.35000002</v>
      </c>
      <c r="M101" s="71">
        <f>[1]!b_stm07_bs(M14,95,M13,1)</f>
        <v>2033931506.8599999</v>
      </c>
      <c r="N101" s="71">
        <f>[1]!b_stm07_bs(N14,95,N13,1)</f>
        <v>499660893.19</v>
      </c>
      <c r="O101" s="71">
        <f>[1]!b_stm07_bs(O14,95,O13,1)</f>
        <v>0</v>
      </c>
      <c r="P101" s="71">
        <f>[1]!b_stm07_bs(P14,95,P13,1)</f>
        <v>2990994060.6399999</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17087386783.48</v>
      </c>
      <c r="K103" s="71"/>
      <c r="L103" s="71">
        <f>[1]!b_stm07_bs(L14,141,L13,1)</f>
        <v>7308862766.2399998</v>
      </c>
      <c r="M103" s="71">
        <f>[1]!b_stm07_bs(M14,141,M13,1)</f>
        <v>7127173315.8999996</v>
      </c>
      <c r="N103" s="71">
        <f>[1]!b_stm07_bs(N14,141,N13,1)</f>
        <v>11767253097.540001</v>
      </c>
      <c r="O103" s="71">
        <f>[1]!b_stm07_bs(O14,141,O13,1)</f>
        <v>13704991622.139999</v>
      </c>
      <c r="P103" s="71">
        <f>[1]!b_stm07_bs(P14,141,P13,1)</f>
        <v>9360396821.5599995</v>
      </c>
      <c r="Q103" s="71">
        <f>[1]!b_stm07_bs(Q14,141,Q13,1)</f>
        <v>4093504506.0799999</v>
      </c>
      <c r="R103" s="71">
        <f>[1]!b_stm07_bs(R14,141,R13,1)</f>
        <v>6836929474.3699999</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d19041610.IB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0.63773000000000002</v>
      </c>
      <c r="C109" s="54" t="s">
        <v>36</v>
      </c>
      <c r="D109" s="72">
        <f>[1]!s_fa_current(A2,B2)</f>
        <v>1.0045999999999999</v>
      </c>
      <c r="E109" s="54" t="s">
        <v>41</v>
      </c>
      <c r="F109" s="73">
        <f>[1]!s_fa_salescashintoor(A2,B2)/100</f>
        <v>1.1595</v>
      </c>
      <c r="G109" s="54" t="s">
        <v>42</v>
      </c>
      <c r="H109" s="12">
        <f>S109/100</f>
        <v>0.15006800000000001</v>
      </c>
      <c r="I109" s="54"/>
      <c r="J109" s="16"/>
      <c r="K109" s="25"/>
      <c r="L109" s="34" t="s">
        <v>61</v>
      </c>
      <c r="M109" s="74">
        <f>[1]!s_fa_debttoassets(A2,B2)</f>
        <v>63.773000000000003</v>
      </c>
      <c r="N109" s="54" t="s">
        <v>36</v>
      </c>
      <c r="O109" s="35"/>
      <c r="P109" s="54" t="s">
        <v>41</v>
      </c>
      <c r="Q109" s="35"/>
      <c r="R109" s="54" t="s">
        <v>42</v>
      </c>
      <c r="S109" s="75">
        <f>[1]!s_fa_grossprofitmargin(A2,B2)</f>
        <v>15.0068</v>
      </c>
    </row>
    <row r="110" spans="1:19" ht="15.75" customHeight="1" x14ac:dyDescent="0.25">
      <c r="A110" s="54" t="s">
        <v>62</v>
      </c>
      <c r="B110" s="12">
        <f>M110/100</f>
        <v>0.225518</v>
      </c>
      <c r="C110" s="54" t="s">
        <v>63</v>
      </c>
      <c r="D110" s="73">
        <f>[1]!s_fa_quick(A2,B2)</f>
        <v>0.623</v>
      </c>
      <c r="E110" s="54" t="s">
        <v>64</v>
      </c>
      <c r="F110" s="72">
        <f>[1]!s_fa_arturn(A2,B2)</f>
        <v>43.534100000000002</v>
      </c>
      <c r="G110" s="54" t="s">
        <v>65</v>
      </c>
      <c r="H110" s="12">
        <f>S110/100</f>
        <v>3.5858000000000001E-2</v>
      </c>
      <c r="I110" s="54"/>
      <c r="J110" s="16"/>
      <c r="L110" s="54" t="s">
        <v>62</v>
      </c>
      <c r="M110" s="74">
        <f>[1]!s_fa_catoassets(A2,B2)</f>
        <v>22.5518</v>
      </c>
      <c r="N110" s="54" t="s">
        <v>63</v>
      </c>
      <c r="O110" s="35"/>
      <c r="P110" s="54" t="s">
        <v>64</v>
      </c>
      <c r="Q110" s="73"/>
      <c r="R110" s="54" t="s">
        <v>65</v>
      </c>
      <c r="S110" s="75">
        <f>[1]!s_fa_optogr(A2,B2)</f>
        <v>3.5857999999999999</v>
      </c>
    </row>
    <row r="111" spans="1:19" ht="15" customHeight="1" x14ac:dyDescent="0.25">
      <c r="A111" s="54" t="s">
        <v>66</v>
      </c>
      <c r="B111" s="12">
        <f>M111/100</f>
        <v>0.35202</v>
      </c>
      <c r="C111" s="54" t="s">
        <v>39</v>
      </c>
      <c r="D111" s="73">
        <f>[1]!s_fa_ebitdatodebt(A2,B2)</f>
        <v>0.12039999999999999</v>
      </c>
      <c r="E111" s="54" t="s">
        <v>67</v>
      </c>
      <c r="F111" s="72">
        <f>[1]!s_fa_invturn(A2,B2)</f>
        <v>7.5922000000000001</v>
      </c>
      <c r="G111" s="54" t="s">
        <v>45</v>
      </c>
      <c r="H111" s="12">
        <f>S111/100</f>
        <v>2.6988999999999999E-2</v>
      </c>
      <c r="I111" s="54"/>
      <c r="J111" s="16"/>
      <c r="L111" s="54" t="s">
        <v>66</v>
      </c>
      <c r="M111" s="74">
        <f>[1]!s_fa_currentdebttodebt(A2,B2)</f>
        <v>35.201999999999998</v>
      </c>
      <c r="N111" s="54" t="s">
        <v>39</v>
      </c>
      <c r="O111" s="35"/>
      <c r="P111" s="54" t="s">
        <v>67</v>
      </c>
      <c r="Q111" s="35"/>
      <c r="R111" s="54" t="s">
        <v>45</v>
      </c>
      <c r="S111" s="75">
        <f>[1]!s_fa_roe(A2,B2)</f>
        <v>2.6989000000000001</v>
      </c>
    </row>
    <row r="112" spans="1:19" ht="14.25" customHeight="1" x14ac:dyDescent="0.25">
      <c r="A112" s="54" t="s">
        <v>38</v>
      </c>
      <c r="B112" s="76">
        <f>(M116+M117+M118+M119+M120+M121)/M123</f>
        <v>1.2342945316337399</v>
      </c>
      <c r="C112" s="54" t="s">
        <v>68</v>
      </c>
      <c r="D112" s="73">
        <f>[1]!s_fa_ebittointerest(A2,B2)</f>
        <v>1.9665999999999999</v>
      </c>
      <c r="E112" s="54" t="s">
        <v>69</v>
      </c>
      <c r="F112" s="72">
        <f>[1]!s_fa_caturn(A2,B2)</f>
        <v>2.7210999999999999</v>
      </c>
      <c r="G112" s="54" t="s">
        <v>70</v>
      </c>
      <c r="H112" s="12">
        <f>S112/100</f>
        <v>5.5129999999999998E-2</v>
      </c>
      <c r="I112" s="54"/>
      <c r="J112" s="16"/>
      <c r="L112" s="54" t="s">
        <v>38</v>
      </c>
      <c r="M112" s="77"/>
      <c r="N112" s="54" t="s">
        <v>68</v>
      </c>
      <c r="O112" s="35"/>
      <c r="P112" s="54" t="s">
        <v>69</v>
      </c>
      <c r="Q112" s="35"/>
      <c r="R112" s="54" t="s">
        <v>70</v>
      </c>
      <c r="S112" s="75">
        <f>[1]!s_fa_roa2(A2,B2)</f>
        <v>5.5129999999999999</v>
      </c>
    </row>
    <row r="113" spans="1:21" x14ac:dyDescent="0.25">
      <c r="A113" s="30"/>
      <c r="B113" s="31"/>
      <c r="C113" s="30"/>
      <c r="D113" s="32"/>
      <c r="E113" s="30" t="s">
        <v>71</v>
      </c>
      <c r="F113" s="78">
        <f>[1]!s_fa_dupont_faturnover(A2,B2)</f>
        <v>0.74680000000000002</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3280652000</v>
      </c>
    </row>
    <row r="117" spans="1:21" ht="14.25" customHeight="1" x14ac:dyDescent="0.25">
      <c r="A117" s="54" t="s">
        <v>77</v>
      </c>
      <c r="B117" s="73">
        <f t="shared" ref="B117:B131" si="1">M127/100000000</f>
        <v>6.1303977379999992</v>
      </c>
      <c r="C117" s="54" t="s">
        <v>78</v>
      </c>
      <c r="D117" s="76">
        <f t="shared" ref="D117:D125" si="2">O127/100000000</f>
        <v>354.52295590969999</v>
      </c>
      <c r="E117" s="131" t="s">
        <v>79</v>
      </c>
      <c r="F117" s="124"/>
      <c r="G117" s="124"/>
      <c r="H117" s="132">
        <f t="shared" ref="H117:H131" si="3">S127/100000000</f>
        <v>411.06254159069999</v>
      </c>
      <c r="I117" s="124"/>
      <c r="J117" s="124"/>
      <c r="L117" s="17" t="s">
        <v>48</v>
      </c>
      <c r="M117" s="71">
        <f>[1]!b_stm07_bs(K107,82,L107,1)</f>
        <v>419002880.5</v>
      </c>
    </row>
    <row r="118" spans="1:21" ht="14.25" customHeight="1" x14ac:dyDescent="0.25">
      <c r="A118" s="54" t="s">
        <v>80</v>
      </c>
      <c r="B118" s="73">
        <f t="shared" si="1"/>
        <v>6.3521978588999994</v>
      </c>
      <c r="C118" s="54" t="s">
        <v>81</v>
      </c>
      <c r="D118" s="76">
        <f t="shared" si="2"/>
        <v>343.13145595049997</v>
      </c>
      <c r="E118" s="131" t="s">
        <v>82</v>
      </c>
      <c r="F118" s="124"/>
      <c r="G118" s="124"/>
      <c r="H118" s="132">
        <f t="shared" si="3"/>
        <v>6.5597689848999998</v>
      </c>
      <c r="I118" s="124"/>
      <c r="J118" s="124"/>
      <c r="L118" s="17" t="s">
        <v>49</v>
      </c>
      <c r="M118" s="71">
        <f>[1]!b_stm07_bs(K107,88,L107,1)</f>
        <v>125296867.90000001</v>
      </c>
    </row>
    <row r="119" spans="1:21" ht="14.25" customHeight="1" x14ac:dyDescent="0.25">
      <c r="A119" s="54" t="s">
        <v>83</v>
      </c>
      <c r="B119" s="73">
        <f t="shared" si="1"/>
        <v>11.058185381099999</v>
      </c>
      <c r="C119" s="54" t="s">
        <v>84</v>
      </c>
      <c r="D119" s="76">
        <f t="shared" si="2"/>
        <v>301.32045322440001</v>
      </c>
      <c r="E119" s="131" t="s">
        <v>85</v>
      </c>
      <c r="F119" s="124"/>
      <c r="G119" s="124"/>
      <c r="H119" s="133">
        <f t="shared" si="3"/>
        <v>418.27358346629995</v>
      </c>
      <c r="I119" s="124"/>
      <c r="J119" s="124"/>
      <c r="L119" s="17" t="s">
        <v>50</v>
      </c>
      <c r="M119" s="71">
        <f>[1]!b_stm07_bs(K107,147,L107,1)</f>
        <v>0</v>
      </c>
    </row>
    <row r="120" spans="1:21" ht="14.25" customHeight="1" x14ac:dyDescent="0.25">
      <c r="A120" s="54" t="s">
        <v>86</v>
      </c>
      <c r="B120" s="73">
        <f t="shared" si="1"/>
        <v>208.33815748779998</v>
      </c>
      <c r="C120" s="54" t="s">
        <v>87</v>
      </c>
      <c r="D120" s="76">
        <f t="shared" si="2"/>
        <v>12.817692575799999</v>
      </c>
      <c r="E120" s="131" t="s">
        <v>88</v>
      </c>
      <c r="F120" s="124"/>
      <c r="G120" s="124"/>
      <c r="H120" s="132">
        <f t="shared" si="3"/>
        <v>331.6458298462</v>
      </c>
      <c r="I120" s="124"/>
      <c r="J120" s="124"/>
      <c r="L120" s="17" t="s">
        <v>51</v>
      </c>
      <c r="M120" s="71">
        <f>[1]!b_stm07_bs(K107,94,L107,1)</f>
        <v>6441033562.5600004</v>
      </c>
    </row>
    <row r="121" spans="1:21" ht="14.25" customHeight="1" x14ac:dyDescent="0.25">
      <c r="A121" s="54" t="s">
        <v>89</v>
      </c>
      <c r="B121" s="73">
        <f t="shared" si="1"/>
        <v>11.989288576099998</v>
      </c>
      <c r="C121" s="54" t="s">
        <v>90</v>
      </c>
      <c r="D121" s="76">
        <f t="shared" si="2"/>
        <v>12.943422294600001</v>
      </c>
      <c r="E121" s="131" t="s">
        <v>91</v>
      </c>
      <c r="F121" s="124"/>
      <c r="G121" s="124"/>
      <c r="H121" s="132">
        <f t="shared" si="3"/>
        <v>17.245673292100001</v>
      </c>
      <c r="I121" s="124"/>
      <c r="J121" s="124"/>
      <c r="L121" s="17" t="s">
        <v>52</v>
      </c>
      <c r="M121" s="71">
        <f>[1]!b_stm07_bs(K107,95,L107,1)</f>
        <v>10824882755.799999</v>
      </c>
    </row>
    <row r="122" spans="1:21" ht="14.25" customHeight="1" x14ac:dyDescent="0.25">
      <c r="A122" s="54" t="s">
        <v>92</v>
      </c>
      <c r="B122" s="73">
        <f t="shared" si="1"/>
        <v>99.921303735099997</v>
      </c>
      <c r="C122" s="54" t="s">
        <v>93</v>
      </c>
      <c r="D122" s="76">
        <f t="shared" si="2"/>
        <v>14.0602995456</v>
      </c>
      <c r="E122" s="131" t="s">
        <v>94</v>
      </c>
      <c r="F122" s="124"/>
      <c r="G122" s="124"/>
      <c r="H122" s="133">
        <f t="shared" si="3"/>
        <v>370.20437187300001</v>
      </c>
      <c r="I122" s="124"/>
      <c r="J122" s="124"/>
      <c r="L122" s="17"/>
      <c r="M122" s="17"/>
    </row>
    <row r="123" spans="1:21" ht="14.25" customHeight="1" x14ac:dyDescent="0.25">
      <c r="A123" s="54" t="s">
        <v>95</v>
      </c>
      <c r="B123" s="79">
        <f t="shared" si="1"/>
        <v>471.67531802050001</v>
      </c>
      <c r="C123" s="54" t="s">
        <v>96</v>
      </c>
      <c r="D123" s="76">
        <f t="shared" si="2"/>
        <v>12.712359530200001</v>
      </c>
      <c r="E123" s="131" t="s">
        <v>97</v>
      </c>
      <c r="F123" s="124"/>
      <c r="G123" s="124"/>
      <c r="H123" s="133">
        <f t="shared" si="3"/>
        <v>48.069211593299997</v>
      </c>
      <c r="I123" s="124"/>
      <c r="J123" s="124"/>
      <c r="L123" s="17" t="s">
        <v>53</v>
      </c>
      <c r="M123" s="71">
        <f>[1]!b_stm07_bs(K107,141,L107,1)</f>
        <v>17087386783.48</v>
      </c>
    </row>
    <row r="124" spans="1:21" ht="14.25" customHeight="1" x14ac:dyDescent="0.25">
      <c r="A124" s="54" t="s">
        <v>98</v>
      </c>
      <c r="B124" s="73">
        <f t="shared" si="1"/>
        <v>32.806519999999999</v>
      </c>
      <c r="C124" s="54" t="s">
        <v>99</v>
      </c>
      <c r="D124" s="76">
        <f t="shared" si="2"/>
        <v>12.862461769500001</v>
      </c>
      <c r="E124" s="131" t="s">
        <v>100</v>
      </c>
      <c r="F124" s="124"/>
      <c r="G124" s="124"/>
      <c r="H124" s="133">
        <f t="shared" si="3"/>
        <v>-35.460377662600003</v>
      </c>
      <c r="I124" s="124"/>
      <c r="J124" s="124"/>
      <c r="L124" s="17"/>
      <c r="M124" s="17"/>
    </row>
    <row r="125" spans="1:21" ht="27" customHeight="1" x14ac:dyDescent="0.25">
      <c r="A125" s="54" t="s">
        <v>101</v>
      </c>
      <c r="B125" s="73">
        <f t="shared" si="1"/>
        <v>1.2529686790000001</v>
      </c>
      <c r="C125" s="54" t="s">
        <v>43</v>
      </c>
      <c r="D125" s="76">
        <f t="shared" si="2"/>
        <v>8.9916324976999995</v>
      </c>
      <c r="E125" s="131" t="s">
        <v>102</v>
      </c>
      <c r="F125" s="124"/>
      <c r="G125" s="124"/>
      <c r="H125" s="132">
        <f t="shared" si="3"/>
        <v>1.5101077472</v>
      </c>
      <c r="I125" s="124"/>
      <c r="J125" s="124"/>
      <c r="L125" s="17"/>
      <c r="M125" s="17"/>
    </row>
    <row r="126" spans="1:21" ht="16.5" customHeight="1" x14ac:dyDescent="0.25">
      <c r="A126" s="54" t="s">
        <v>103</v>
      </c>
      <c r="B126" s="73">
        <f t="shared" si="1"/>
        <v>0</v>
      </c>
      <c r="C126" s="54"/>
      <c r="D126" s="80"/>
      <c r="E126" s="131" t="s">
        <v>104</v>
      </c>
      <c r="F126" s="124"/>
      <c r="G126" s="124"/>
      <c r="H126" s="132">
        <f t="shared" si="3"/>
        <v>90.333540999999997</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64.410335625599998</v>
      </c>
      <c r="C127" s="54"/>
      <c r="D127" s="80"/>
      <c r="E127" s="131" t="s">
        <v>106</v>
      </c>
      <c r="F127" s="124"/>
      <c r="G127" s="124"/>
      <c r="H127" s="132">
        <f t="shared" si="3"/>
        <v>49.971299999999999</v>
      </c>
      <c r="I127" s="124"/>
      <c r="J127" s="124"/>
      <c r="L127" s="54" t="s">
        <v>77</v>
      </c>
      <c r="M127" s="75">
        <f>[1]!b_stm07_bs(K107,9,L107,1)</f>
        <v>613039773.79999995</v>
      </c>
      <c r="N127" s="54" t="s">
        <v>78</v>
      </c>
      <c r="O127" s="75">
        <f>[1]!b_stm07_is(K107,83,L107,1)</f>
        <v>35452295590.970001</v>
      </c>
      <c r="P127" s="131" t="s">
        <v>79</v>
      </c>
      <c r="Q127" s="124"/>
      <c r="R127" s="124"/>
      <c r="S127" s="136">
        <f>[1]!b_stm07_cs(K107,9,L107,1)</f>
        <v>41106254159.07</v>
      </c>
      <c r="T127" s="135"/>
      <c r="U127" s="135"/>
    </row>
    <row r="128" spans="1:21" ht="14.25" customHeight="1" x14ac:dyDescent="0.25">
      <c r="A128" s="54" t="s">
        <v>107</v>
      </c>
      <c r="B128" s="73">
        <f t="shared" si="1"/>
        <v>108.24882755799999</v>
      </c>
      <c r="C128" s="54"/>
      <c r="D128" s="80"/>
      <c r="E128" s="131" t="s">
        <v>108</v>
      </c>
      <c r="F128" s="124"/>
      <c r="G128" s="124"/>
      <c r="H128" s="133">
        <f t="shared" si="3"/>
        <v>141.81494874719999</v>
      </c>
      <c r="I128" s="124"/>
      <c r="J128" s="124"/>
      <c r="L128" s="54" t="s">
        <v>80</v>
      </c>
      <c r="M128" s="75">
        <f>[1]!b_stm07_bs(K107,12,L107,1)</f>
        <v>635219785.88999999</v>
      </c>
      <c r="N128" s="54" t="s">
        <v>81</v>
      </c>
      <c r="O128" s="75">
        <f>[1]!b_stm07_is(K107,84,L107,1)</f>
        <v>34313145595.049999</v>
      </c>
      <c r="P128" s="131" t="s">
        <v>82</v>
      </c>
      <c r="Q128" s="124"/>
      <c r="R128" s="124"/>
      <c r="S128" s="136">
        <f>[1]!b_stm07_cs(K107,11,L107,1)</f>
        <v>655976898.49000001</v>
      </c>
      <c r="T128" s="135"/>
      <c r="U128" s="135"/>
    </row>
    <row r="129" spans="1:21" ht="14.25" customHeight="1" x14ac:dyDescent="0.25">
      <c r="A129" s="54" t="s">
        <v>109</v>
      </c>
      <c r="B129" s="79">
        <f t="shared" si="1"/>
        <v>300.80145018569999</v>
      </c>
      <c r="C129" s="14"/>
      <c r="D129" s="13"/>
      <c r="E129" s="131" t="s">
        <v>110</v>
      </c>
      <c r="F129" s="124"/>
      <c r="G129" s="124"/>
      <c r="H129" s="132">
        <f t="shared" si="3"/>
        <v>155.1961269128</v>
      </c>
      <c r="I129" s="124"/>
      <c r="J129" s="124"/>
      <c r="L129" s="54" t="s">
        <v>83</v>
      </c>
      <c r="M129" s="75">
        <f>[1]!b_stm07_bs(K107,13,L107,1)</f>
        <v>1105818538.1099999</v>
      </c>
      <c r="N129" s="54" t="s">
        <v>84</v>
      </c>
      <c r="O129" s="75">
        <f>[1]!b_stm07_is(K107,10,L107,1)</f>
        <v>30132045322.439999</v>
      </c>
      <c r="P129" s="131" t="s">
        <v>85</v>
      </c>
      <c r="Q129" s="124"/>
      <c r="R129" s="124"/>
      <c r="S129" s="137">
        <f>[1]!b_stm07_cs(K107,25,L107,1)</f>
        <v>41827358346.629997</v>
      </c>
      <c r="T129" s="135"/>
      <c r="U129" s="135"/>
    </row>
    <row r="130" spans="1:21" ht="14.25" customHeight="1" x14ac:dyDescent="0.25">
      <c r="A130" s="54" t="s">
        <v>111</v>
      </c>
      <c r="B130" s="79">
        <f t="shared" si="1"/>
        <v>170.8738678348</v>
      </c>
      <c r="C130" s="14"/>
      <c r="D130" s="13"/>
      <c r="E130" s="131" t="s">
        <v>112</v>
      </c>
      <c r="F130" s="124"/>
      <c r="G130" s="124"/>
      <c r="H130" s="132">
        <f t="shared" si="3"/>
        <v>181.6003646021</v>
      </c>
      <c r="I130" s="124"/>
      <c r="J130" s="124"/>
      <c r="L130" s="54" t="s">
        <v>86</v>
      </c>
      <c r="M130" s="75">
        <f>[1]!b_stm07_bs(K107,31,L107,1)</f>
        <v>20833815748.779999</v>
      </c>
      <c r="N130" s="54" t="s">
        <v>87</v>
      </c>
      <c r="O130" s="75">
        <f>[1]!b_stm07_is(K107,12,L107,1)</f>
        <v>1281769257.5799999</v>
      </c>
      <c r="P130" s="131" t="s">
        <v>88</v>
      </c>
      <c r="Q130" s="124"/>
      <c r="R130" s="124"/>
      <c r="S130" s="136">
        <f>[1]!b_stm07_cs(K107,26,L107,1)</f>
        <v>33164582984.619999</v>
      </c>
      <c r="T130" s="135"/>
      <c r="U130" s="135"/>
    </row>
    <row r="131" spans="1:21" ht="14.25" customHeight="1" x14ac:dyDescent="0.25">
      <c r="A131" s="15" t="s">
        <v>113</v>
      </c>
      <c r="B131" s="79">
        <f t="shared" si="1"/>
        <v>471.67531802050001</v>
      </c>
      <c r="C131" s="14"/>
      <c r="D131" s="13"/>
      <c r="E131" s="131" t="s">
        <v>114</v>
      </c>
      <c r="F131" s="124"/>
      <c r="G131" s="124"/>
      <c r="H131" s="133">
        <f t="shared" si="3"/>
        <v>-39.785415854899995</v>
      </c>
      <c r="I131" s="124"/>
      <c r="J131" s="124"/>
      <c r="L131" s="54" t="s">
        <v>89</v>
      </c>
      <c r="M131" s="75">
        <f>[1]!b_stm07_bs(K107,33,L107,1)</f>
        <v>1198928857.6099999</v>
      </c>
      <c r="N131" s="54" t="s">
        <v>90</v>
      </c>
      <c r="O131" s="75">
        <f>[1]!b_stm07_is(K107,13,L107,1)</f>
        <v>1294342229.46</v>
      </c>
      <c r="P131" s="131" t="s">
        <v>91</v>
      </c>
      <c r="Q131" s="124"/>
      <c r="R131" s="124"/>
      <c r="S131" s="136">
        <f>[1]!b_stm07_cs(K107,29,L107,1)</f>
        <v>1724567329.21</v>
      </c>
      <c r="T131" s="135"/>
      <c r="U131" s="135"/>
    </row>
    <row r="132" spans="1:21" x14ac:dyDescent="0.25">
      <c r="L132" s="54" t="s">
        <v>92</v>
      </c>
      <c r="M132" s="75">
        <f>[1]!b_stm07_bs(K107,37,L107,1)</f>
        <v>9992130373.5100002</v>
      </c>
      <c r="N132" s="54" t="s">
        <v>93</v>
      </c>
      <c r="O132" s="75">
        <f>[1]!b_stm07_is(K107,14,L107,1)</f>
        <v>1406029954.5599999</v>
      </c>
      <c r="P132" s="131" t="s">
        <v>94</v>
      </c>
      <c r="Q132" s="124"/>
      <c r="R132" s="124"/>
      <c r="S132" s="137">
        <f>[1]!b_stm07_cs(K107,37,L107,1)</f>
        <v>37020437187.300003</v>
      </c>
      <c r="T132" s="135"/>
      <c r="U132" s="135"/>
    </row>
    <row r="133" spans="1:21" x14ac:dyDescent="0.25">
      <c r="L133" s="54" t="s">
        <v>95</v>
      </c>
      <c r="M133" s="81">
        <f>[1]!b_stm07_bs(K107,74,L107,1)</f>
        <v>47167531802.050003</v>
      </c>
      <c r="N133" s="54" t="s">
        <v>96</v>
      </c>
      <c r="O133" s="75">
        <f>[1]!b_stm07_is(K107,48,L107,1)</f>
        <v>1271235953.02</v>
      </c>
      <c r="P133" s="131" t="s">
        <v>97</v>
      </c>
      <c r="Q133" s="124"/>
      <c r="R133" s="124"/>
      <c r="S133" s="137">
        <f>[1]!b_stm07_cs(K107,39,L107,1)</f>
        <v>4806921159.3299999</v>
      </c>
      <c r="T133" s="135"/>
      <c r="U133" s="135"/>
    </row>
    <row r="134" spans="1:21" x14ac:dyDescent="0.25">
      <c r="L134" s="54" t="s">
        <v>98</v>
      </c>
      <c r="M134" s="75">
        <f>[1]!b_stm07_bs(K107,75,L107,1)</f>
        <v>3280652000</v>
      </c>
      <c r="N134" s="54" t="s">
        <v>99</v>
      </c>
      <c r="O134" s="75">
        <f>[1]!b_stm07_is(K107,55,L107,1)</f>
        <v>1286246176.95</v>
      </c>
      <c r="P134" s="131" t="s">
        <v>100</v>
      </c>
      <c r="Q134" s="124"/>
      <c r="R134" s="124"/>
      <c r="S134" s="137">
        <f>[1]!b_stm07_cs(K107,59,L107,1)</f>
        <v>-3546037766.2600002</v>
      </c>
      <c r="T134" s="135"/>
      <c r="U134" s="135"/>
    </row>
    <row r="135" spans="1:21" ht="32.4" customHeight="1" x14ac:dyDescent="0.25">
      <c r="L135" s="54" t="s">
        <v>101</v>
      </c>
      <c r="M135" s="75">
        <f>[1]!b_stm07_bs(K107,88,L107,1)</f>
        <v>125296867.90000001</v>
      </c>
      <c r="N135" s="54" t="s">
        <v>43</v>
      </c>
      <c r="O135" s="75">
        <f>[1]!b_stm07_is(K107,60,L107,1)</f>
        <v>899163249.76999998</v>
      </c>
      <c r="P135" s="131" t="s">
        <v>102</v>
      </c>
      <c r="Q135" s="124"/>
      <c r="R135" s="124"/>
      <c r="S135" s="136">
        <f>[1]!b_stm07_cs(K107,60,L107,1)</f>
        <v>151010774.72</v>
      </c>
      <c r="T135" s="135"/>
      <c r="U135" s="135"/>
    </row>
    <row r="136" spans="1:21" ht="21.6" customHeight="1" x14ac:dyDescent="0.25">
      <c r="L136" s="54" t="s">
        <v>103</v>
      </c>
      <c r="M136" s="75">
        <f>[1]!b_stm07_bs(K107,147,L107,1)</f>
        <v>0</v>
      </c>
      <c r="N136" s="54"/>
      <c r="O136" s="80"/>
      <c r="P136" s="131" t="s">
        <v>104</v>
      </c>
      <c r="Q136" s="124"/>
      <c r="R136" s="124"/>
      <c r="S136" s="136">
        <f>[1]!b_stm07_cs(K107,61,L107,1)</f>
        <v>9033354100</v>
      </c>
      <c r="T136" s="135"/>
      <c r="U136" s="135"/>
    </row>
    <row r="137" spans="1:21" x14ac:dyDescent="0.25">
      <c r="L137" s="54" t="s">
        <v>105</v>
      </c>
      <c r="M137" s="75">
        <f>[1]!b_stm07_bs(K107,94,L107,1)</f>
        <v>6441033562.5600004</v>
      </c>
      <c r="N137" s="54"/>
      <c r="O137" s="80"/>
      <c r="P137" s="131" t="s">
        <v>106</v>
      </c>
      <c r="Q137" s="124"/>
      <c r="R137" s="124"/>
      <c r="S137" s="136">
        <f>[1]!b_stm07_cs(K107,63,L107,1)</f>
        <v>4997130000</v>
      </c>
      <c r="T137" s="135"/>
      <c r="U137" s="135"/>
    </row>
    <row r="138" spans="1:21" x14ac:dyDescent="0.25">
      <c r="L138" s="54" t="s">
        <v>107</v>
      </c>
      <c r="M138" s="75">
        <f>[1]!b_stm07_bs(K107,95,L107,1)</f>
        <v>10824882755.799999</v>
      </c>
      <c r="N138" s="54"/>
      <c r="O138" s="80"/>
      <c r="P138" s="131" t="s">
        <v>108</v>
      </c>
      <c r="Q138" s="124"/>
      <c r="R138" s="124"/>
      <c r="S138" s="137">
        <f>[1]!b_stm07_cs(K107,68,L107,1)</f>
        <v>14181494874.719999</v>
      </c>
      <c r="T138" s="135"/>
      <c r="U138" s="135"/>
    </row>
    <row r="139" spans="1:21" x14ac:dyDescent="0.25">
      <c r="L139" s="54" t="s">
        <v>109</v>
      </c>
      <c r="M139" s="81">
        <f>[1]!b_stm07_bs(K107,128,L107,1)</f>
        <v>30080145018.57</v>
      </c>
      <c r="N139" s="14"/>
      <c r="O139" s="13"/>
      <c r="P139" s="131" t="s">
        <v>110</v>
      </c>
      <c r="Q139" s="124"/>
      <c r="R139" s="124"/>
      <c r="S139" s="136">
        <f>[1]!b_stm07_cs(K107,69,L107,1)</f>
        <v>15519612691.280001</v>
      </c>
      <c r="T139" s="135"/>
      <c r="U139" s="135"/>
    </row>
    <row r="140" spans="1:21" ht="21.6" customHeight="1" x14ac:dyDescent="0.25">
      <c r="L140" s="54" t="s">
        <v>111</v>
      </c>
      <c r="M140" s="81">
        <f>[1]!b_stm07_bs(K107,141,L107,1)</f>
        <v>17087386783.48</v>
      </c>
      <c r="N140" s="14"/>
      <c r="O140" s="13"/>
      <c r="P140" s="131" t="s">
        <v>112</v>
      </c>
      <c r="Q140" s="124"/>
      <c r="R140" s="124"/>
      <c r="S140" s="136">
        <f>[1]!b_stm07_cs(K107,75,L107,1)</f>
        <v>18160036460.209999</v>
      </c>
      <c r="T140" s="135"/>
      <c r="U140" s="135"/>
    </row>
    <row r="141" spans="1:21" ht="21.6" customHeight="1" x14ac:dyDescent="0.25">
      <c r="L141" s="15" t="s">
        <v>113</v>
      </c>
      <c r="M141" s="81">
        <f>[1]!b_stm07_bs(K107,145,L107,1)</f>
        <v>47167531802.050003</v>
      </c>
      <c r="N141" s="14"/>
      <c r="O141" s="13"/>
      <c r="P141" s="131" t="s">
        <v>114</v>
      </c>
      <c r="Q141" s="124"/>
      <c r="R141" s="124"/>
      <c r="S141" s="137">
        <f>[1]!b_stm07_cs(K107,77,L107,1)</f>
        <v>-3978541585.4899998</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344</v>
      </c>
      <c r="C2" s="120"/>
      <c r="D2" s="57" t="s">
        <v>3</v>
      </c>
      <c r="E2" s="119" t="s">
        <v>402</v>
      </c>
      <c r="F2" s="120"/>
      <c r="G2" s="120"/>
    </row>
    <row r="3" spans="1:12" ht="14.25" customHeight="1" x14ac:dyDescent="0.25">
      <c r="A3" s="57" t="s">
        <v>4</v>
      </c>
      <c r="B3" s="119" t="s">
        <v>403</v>
      </c>
      <c r="C3" s="120"/>
      <c r="D3" s="57" t="s">
        <v>5</v>
      </c>
      <c r="E3" s="119" t="s">
        <v>404</v>
      </c>
      <c r="F3" s="120"/>
      <c r="G3" s="120"/>
    </row>
    <row r="4" spans="1:12" ht="113.25" customHeight="1" x14ac:dyDescent="0.25">
      <c r="A4" s="57" t="s">
        <v>6</v>
      </c>
      <c r="B4" s="121" t="s">
        <v>405</v>
      </c>
      <c r="C4" s="120"/>
      <c r="D4" s="120"/>
      <c r="E4" s="120"/>
      <c r="F4" s="120"/>
      <c r="G4" s="120"/>
    </row>
    <row r="5" spans="1:12" ht="14.4" x14ac:dyDescent="0.25">
      <c r="A5" s="82" t="s">
        <v>115</v>
      </c>
      <c r="B5" s="140" t="s">
        <v>406</v>
      </c>
      <c r="C5" s="120"/>
      <c r="D5" s="120"/>
      <c r="E5" s="120"/>
      <c r="F5" s="141">
        <v>0.69150001525878901</v>
      </c>
      <c r="G5" s="120"/>
    </row>
    <row r="6" spans="1:12" ht="11.25" customHeight="1" x14ac:dyDescent="0.25">
      <c r="A6" s="82" t="s">
        <v>116</v>
      </c>
      <c r="B6" s="140" t="s">
        <v>407</v>
      </c>
      <c r="C6" s="120"/>
      <c r="D6" s="120"/>
      <c r="E6" s="120"/>
      <c r="F6" s="141">
        <v>2.6600000858306886E-2</v>
      </c>
      <c r="G6" s="120"/>
    </row>
    <row r="7" spans="1:12" ht="11.25" customHeight="1" x14ac:dyDescent="0.25">
      <c r="A7" s="82" t="s">
        <v>117</v>
      </c>
      <c r="B7" s="140" t="s">
        <v>408</v>
      </c>
      <c r="C7" s="120"/>
      <c r="D7" s="120"/>
      <c r="E7" s="120"/>
      <c r="F7" s="141">
        <v>2.309999942779541E-2</v>
      </c>
      <c r="G7" s="120"/>
    </row>
    <row r="8" spans="1:12" ht="11.25" customHeight="1" x14ac:dyDescent="0.25">
      <c r="A8" s="82" t="s">
        <v>118</v>
      </c>
      <c r="B8" s="140" t="s">
        <v>409</v>
      </c>
      <c r="C8" s="120"/>
      <c r="D8" s="120"/>
      <c r="E8" s="120"/>
      <c r="F8" s="141">
        <v>2.309999942779541E-2</v>
      </c>
      <c r="G8" s="120"/>
    </row>
    <row r="9" spans="1:12" ht="11.25" customHeight="1" x14ac:dyDescent="0.25">
      <c r="A9" s="82" t="s">
        <v>119</v>
      </c>
      <c r="B9" s="140" t="s">
        <v>410</v>
      </c>
      <c r="C9" s="120"/>
      <c r="D9" s="120"/>
      <c r="E9" s="120"/>
      <c r="F9" s="141">
        <v>2.309999942779541E-2</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7.75</v>
      </c>
      <c r="E13" s="64">
        <v>0.70136986301369864</v>
      </c>
      <c r="F13" s="65">
        <v>0</v>
      </c>
      <c r="G13" s="64">
        <v>5</v>
      </c>
    </row>
    <row r="14" spans="1:12" ht="14.4" customHeight="1" x14ac:dyDescent="0.25">
      <c r="A14" t="s">
        <v>124</v>
      </c>
      <c r="B14" t="s">
        <v>125</v>
      </c>
      <c r="C14" t="s">
        <v>126</v>
      </c>
      <c r="D14" s="64">
        <v>7.95</v>
      </c>
      <c r="E14" s="83">
        <v>0.65205479452054793</v>
      </c>
      <c r="F14" t="s">
        <v>411</v>
      </c>
      <c r="G14" s="64">
        <v>8</v>
      </c>
    </row>
    <row r="15" spans="1:12" ht="14.4" customHeight="1" x14ac:dyDescent="0.25">
      <c r="A15" t="s">
        <v>127</v>
      </c>
      <c r="B15" t="s">
        <v>128</v>
      </c>
      <c r="C15" t="s">
        <v>129</v>
      </c>
      <c r="D15" s="64">
        <v>7.95</v>
      </c>
      <c r="E15" s="83">
        <v>0.34246575342465752</v>
      </c>
      <c r="F15">
        <v>0</v>
      </c>
      <c r="G15" s="64">
        <v>5</v>
      </c>
    </row>
    <row r="16" spans="1:12" ht="14.4" customHeight="1" x14ac:dyDescent="0.25">
      <c r="A16" t="s">
        <v>130</v>
      </c>
      <c r="B16" t="s">
        <v>131</v>
      </c>
      <c r="C16" t="s">
        <v>132</v>
      </c>
      <c r="D16" s="64">
        <v>7.95</v>
      </c>
      <c r="E16" s="83">
        <v>0.33698630136986302</v>
      </c>
      <c r="F16">
        <v>0</v>
      </c>
      <c r="G16" s="64">
        <v>5</v>
      </c>
    </row>
    <row r="17" spans="1:7" ht="14.4" customHeight="1" x14ac:dyDescent="0.25">
      <c r="A17" t="s">
        <v>133</v>
      </c>
      <c r="B17" t="s">
        <v>134</v>
      </c>
      <c r="C17" t="s">
        <v>135</v>
      </c>
      <c r="D17" s="64">
        <v>7.7</v>
      </c>
      <c r="E17" s="83">
        <v>0.30136986301369861</v>
      </c>
      <c r="F17">
        <v>0</v>
      </c>
      <c r="G17" s="64">
        <v>5</v>
      </c>
    </row>
    <row r="18" spans="1:7" ht="14.4" customHeight="1" x14ac:dyDescent="0.25">
      <c r="A18" t="s">
        <v>136</v>
      </c>
      <c r="B18" t="s">
        <v>137</v>
      </c>
      <c r="C18" t="s">
        <v>138</v>
      </c>
      <c r="D18" s="64">
        <v>7.7</v>
      </c>
      <c r="E18" s="83">
        <v>0.52328767123287667</v>
      </c>
      <c r="F18" t="s">
        <v>411</v>
      </c>
      <c r="G18" s="64">
        <v>10</v>
      </c>
    </row>
    <row r="19" spans="1:7" ht="14.4" customHeight="1" x14ac:dyDescent="0.25">
      <c r="A19" t="s">
        <v>139</v>
      </c>
      <c r="B19" t="s">
        <v>140</v>
      </c>
      <c r="C19" t="s">
        <v>141</v>
      </c>
      <c r="D19" s="64">
        <v>8.5</v>
      </c>
      <c r="E19" s="83">
        <v>9.0410958904109592E-2</v>
      </c>
      <c r="F19">
        <v>0</v>
      </c>
      <c r="G19" s="64">
        <v>5</v>
      </c>
    </row>
    <row r="20" spans="1:7" ht="14.4" customHeight="1" x14ac:dyDescent="0.25">
      <c r="A20" t="s">
        <v>142</v>
      </c>
      <c r="B20" t="s">
        <v>143</v>
      </c>
      <c r="C20" t="s">
        <v>144</v>
      </c>
      <c r="D20" s="64">
        <v>8.6999999999999993</v>
      </c>
      <c r="E20" s="83">
        <v>1.0958904109589041E-2</v>
      </c>
      <c r="F20">
        <v>0</v>
      </c>
      <c r="G20" s="64">
        <v>5</v>
      </c>
    </row>
    <row r="21" spans="1:7" ht="14.4" customHeight="1" x14ac:dyDescent="0.25">
      <c r="A21" t="s">
        <v>145</v>
      </c>
      <c r="B21" t="s">
        <v>146</v>
      </c>
      <c r="C21" t="s">
        <v>147</v>
      </c>
      <c r="D21" s="64">
        <v>7.85</v>
      </c>
      <c r="E21" s="83">
        <v>0</v>
      </c>
      <c r="F21" t="s">
        <v>411</v>
      </c>
      <c r="G21" s="64">
        <v>8</v>
      </c>
    </row>
    <row r="22" spans="1:7" ht="14.4" customHeight="1" x14ac:dyDescent="0.25">
      <c r="A22" t="s">
        <v>148</v>
      </c>
      <c r="B22" t="s">
        <v>149</v>
      </c>
      <c r="C22" t="s">
        <v>150</v>
      </c>
      <c r="D22" s="64">
        <v>7.85</v>
      </c>
      <c r="E22" s="83">
        <v>0</v>
      </c>
      <c r="F22">
        <v>0</v>
      </c>
      <c r="G22" s="64">
        <v>5</v>
      </c>
    </row>
    <row r="23" spans="1:7" ht="14.4" customHeight="1" x14ac:dyDescent="0.25">
      <c r="A23" t="s">
        <v>151</v>
      </c>
      <c r="B23" t="s">
        <v>152</v>
      </c>
      <c r="C23" t="s">
        <v>153</v>
      </c>
      <c r="D23" s="64">
        <v>7.85</v>
      </c>
      <c r="E23" s="83">
        <v>0</v>
      </c>
      <c r="F23">
        <v>0</v>
      </c>
      <c r="G23" s="64">
        <v>5</v>
      </c>
    </row>
    <row r="24" spans="1:7" ht="14.4" customHeight="1" x14ac:dyDescent="0.25">
      <c r="A24" t="s">
        <v>154</v>
      </c>
      <c r="B24" t="s">
        <v>155</v>
      </c>
      <c r="C24" t="s">
        <v>156</v>
      </c>
      <c r="D24" s="64">
        <v>7.5</v>
      </c>
      <c r="E24" s="83">
        <v>0</v>
      </c>
      <c r="F24" t="s">
        <v>411</v>
      </c>
      <c r="G24" s="64">
        <v>10</v>
      </c>
    </row>
    <row r="25" spans="1:7" ht="14.4" customHeight="1" x14ac:dyDescent="0.25">
      <c r="A25" t="s">
        <v>157</v>
      </c>
      <c r="B25" t="s">
        <v>158</v>
      </c>
      <c r="C25" t="s">
        <v>159</v>
      </c>
      <c r="D25" s="64">
        <v>6</v>
      </c>
      <c r="E25" s="83">
        <v>0</v>
      </c>
      <c r="F25">
        <v>0</v>
      </c>
      <c r="G25" s="64">
        <v>10</v>
      </c>
    </row>
    <row r="26" spans="1:7" ht="14.4" customHeight="1" x14ac:dyDescent="0.25">
      <c r="A26" t="s">
        <v>160</v>
      </c>
      <c r="B26" t="s">
        <v>161</v>
      </c>
      <c r="C26" t="s">
        <v>162</v>
      </c>
      <c r="D26" s="64">
        <v>6</v>
      </c>
      <c r="E26" s="83">
        <v>0</v>
      </c>
      <c r="F26">
        <v>0</v>
      </c>
      <c r="G26" s="64">
        <v>10</v>
      </c>
    </row>
    <row r="27" spans="1:7" ht="14.4" customHeight="1" x14ac:dyDescent="0.25">
      <c r="A27" t="s">
        <v>163</v>
      </c>
      <c r="B27" t="s">
        <v>164</v>
      </c>
      <c r="C27" t="s">
        <v>165</v>
      </c>
      <c r="D27" s="64">
        <v>6</v>
      </c>
      <c r="E27" s="83">
        <v>0.61917808219178083</v>
      </c>
      <c r="F27">
        <v>0</v>
      </c>
      <c r="G27" s="64">
        <v>8</v>
      </c>
    </row>
    <row r="28" spans="1:7" ht="14.4" customHeight="1" x14ac:dyDescent="0.25">
      <c r="A28" t="s">
        <v>166</v>
      </c>
      <c r="B28" t="s">
        <v>164</v>
      </c>
      <c r="C28" t="s">
        <v>167</v>
      </c>
      <c r="D28" s="64">
        <v>6.6</v>
      </c>
      <c r="E28" s="83">
        <v>0.61917808219178083</v>
      </c>
      <c r="F28">
        <v>0</v>
      </c>
      <c r="G28" s="64">
        <v>7</v>
      </c>
    </row>
    <row r="29" spans="1:7" ht="14.4" customHeight="1" x14ac:dyDescent="0.25">
      <c r="A29" t="s">
        <v>168</v>
      </c>
      <c r="B29" t="s">
        <v>169</v>
      </c>
      <c r="C29" t="s">
        <v>170</v>
      </c>
      <c r="D29" s="64">
        <v>6</v>
      </c>
      <c r="E29" s="83">
        <v>0.53150684931506853</v>
      </c>
      <c r="F29">
        <v>0</v>
      </c>
      <c r="G29" s="64">
        <v>8</v>
      </c>
    </row>
    <row r="30" spans="1:7" ht="14.4" customHeight="1" x14ac:dyDescent="0.25">
      <c r="A30" t="s">
        <v>171</v>
      </c>
      <c r="B30" t="s">
        <v>169</v>
      </c>
      <c r="C30" t="s">
        <v>172</v>
      </c>
      <c r="D30" s="64">
        <v>4.9000000000000004</v>
      </c>
      <c r="E30" s="83">
        <v>0</v>
      </c>
      <c r="F30">
        <v>0</v>
      </c>
      <c r="G30" s="64">
        <v>10</v>
      </c>
    </row>
    <row r="31" spans="1:7" ht="14.4" customHeight="1" x14ac:dyDescent="0.25">
      <c r="A31" t="s">
        <v>173</v>
      </c>
      <c r="B31" t="s">
        <v>169</v>
      </c>
      <c r="C31" t="s">
        <v>174</v>
      </c>
      <c r="D31" s="64">
        <v>6.6</v>
      </c>
      <c r="E31" s="83">
        <v>0.53150684931506853</v>
      </c>
      <c r="F31">
        <v>0</v>
      </c>
      <c r="G31" s="64">
        <v>7</v>
      </c>
    </row>
    <row r="32" spans="1:7" ht="14.4" customHeight="1" x14ac:dyDescent="0.25">
      <c r="A32" t="s">
        <v>175</v>
      </c>
      <c r="B32" t="s">
        <v>176</v>
      </c>
      <c r="C32" t="s">
        <v>177</v>
      </c>
      <c r="D32" s="64">
        <v>5.2</v>
      </c>
      <c r="E32" s="83">
        <v>0</v>
      </c>
      <c r="F32" t="s">
        <v>411</v>
      </c>
      <c r="G32" s="64">
        <v>5</v>
      </c>
    </row>
    <row r="33" spans="1:7" ht="14.4" customHeight="1" x14ac:dyDescent="0.25">
      <c r="A33" t="s">
        <v>178</v>
      </c>
      <c r="B33" t="s">
        <v>179</v>
      </c>
      <c r="C33" t="s">
        <v>180</v>
      </c>
      <c r="D33" s="64">
        <v>6.4</v>
      </c>
      <c r="E33" s="83">
        <v>2.4356164383561643</v>
      </c>
      <c r="F33" t="s">
        <v>25</v>
      </c>
      <c r="G33" s="64">
        <v>10</v>
      </c>
    </row>
    <row r="34" spans="1:7" ht="14.4" customHeight="1" x14ac:dyDescent="0.25">
      <c r="A34" t="s">
        <v>181</v>
      </c>
      <c r="B34" t="s">
        <v>182</v>
      </c>
      <c r="C34" t="s">
        <v>183</v>
      </c>
      <c r="D34" s="64">
        <v>5.98</v>
      </c>
      <c r="E34" s="83">
        <v>0</v>
      </c>
      <c r="F34" t="s">
        <v>411</v>
      </c>
      <c r="G34" s="64">
        <v>5</v>
      </c>
    </row>
    <row r="35" spans="1:7" ht="14.4" customHeight="1" x14ac:dyDescent="0.25">
      <c r="A35" t="s">
        <v>184</v>
      </c>
      <c r="B35" t="s">
        <v>185</v>
      </c>
      <c r="C35" t="s">
        <v>186</v>
      </c>
      <c r="D35" s="64">
        <v>5.98</v>
      </c>
      <c r="E35" s="83">
        <v>0</v>
      </c>
      <c r="F35" t="s">
        <v>411</v>
      </c>
      <c r="G35" s="64">
        <v>5</v>
      </c>
    </row>
    <row r="36" spans="1:7" ht="14.4" customHeight="1" x14ac:dyDescent="0.25">
      <c r="A36" t="s">
        <v>187</v>
      </c>
      <c r="B36" t="s">
        <v>188</v>
      </c>
      <c r="C36" t="s">
        <v>189</v>
      </c>
      <c r="D36" s="64">
        <v>6.9</v>
      </c>
      <c r="E36" s="83">
        <v>2.3041095890410959</v>
      </c>
      <c r="F36" t="s">
        <v>25</v>
      </c>
      <c r="G36" s="64">
        <v>10</v>
      </c>
    </row>
    <row r="37" spans="1:7" ht="14.4" customHeight="1" x14ac:dyDescent="0.25">
      <c r="A37" t="s">
        <v>190</v>
      </c>
      <c r="B37" t="s">
        <v>191</v>
      </c>
      <c r="C37" t="s">
        <v>192</v>
      </c>
      <c r="D37" s="64">
        <v>6.6</v>
      </c>
      <c r="E37" s="83">
        <v>0</v>
      </c>
      <c r="F37">
        <v>0</v>
      </c>
      <c r="G37" s="64">
        <v>10</v>
      </c>
    </row>
    <row r="38" spans="1:7" ht="14.4" customHeight="1" x14ac:dyDescent="0.25">
      <c r="A38" t="s">
        <v>193</v>
      </c>
      <c r="B38" t="s">
        <v>194</v>
      </c>
      <c r="C38" t="s">
        <v>195</v>
      </c>
      <c r="D38" s="64">
        <v>7</v>
      </c>
      <c r="E38" s="83">
        <v>2.1698630136986301</v>
      </c>
      <c r="F38" t="s">
        <v>25</v>
      </c>
      <c r="G38" s="64">
        <v>10</v>
      </c>
    </row>
    <row r="39" spans="1:7" ht="14.4" customHeight="1" x14ac:dyDescent="0.25">
      <c r="A39" t="s">
        <v>196</v>
      </c>
      <c r="B39" t="s">
        <v>197</v>
      </c>
      <c r="C39" t="s">
        <v>198</v>
      </c>
      <c r="D39" s="64">
        <v>6.2</v>
      </c>
      <c r="E39" s="83">
        <v>0</v>
      </c>
      <c r="F39">
        <v>0</v>
      </c>
      <c r="G39" s="64">
        <v>10</v>
      </c>
    </row>
    <row r="40" spans="1:7" ht="14.4" customHeight="1" x14ac:dyDescent="0.25">
      <c r="A40" t="s">
        <v>199</v>
      </c>
      <c r="B40" t="s">
        <v>200</v>
      </c>
      <c r="C40" t="s">
        <v>201</v>
      </c>
      <c r="D40" s="64">
        <v>5.8</v>
      </c>
      <c r="E40" s="83">
        <v>0</v>
      </c>
      <c r="F40">
        <v>0</v>
      </c>
      <c r="G40" s="64">
        <v>10</v>
      </c>
    </row>
    <row r="41" spans="1:7" ht="14.4" customHeight="1" x14ac:dyDescent="0.25">
      <c r="A41" t="s">
        <v>202</v>
      </c>
      <c r="B41" t="s">
        <v>203</v>
      </c>
      <c r="C41" t="s">
        <v>204</v>
      </c>
      <c r="D41" s="64">
        <v>7.3</v>
      </c>
      <c r="E41" s="83">
        <v>1.7589041095890412</v>
      </c>
      <c r="F41" t="s">
        <v>25</v>
      </c>
      <c r="G41" s="64">
        <v>10</v>
      </c>
    </row>
    <row r="42" spans="1:7" ht="14.4" customHeight="1" x14ac:dyDescent="0.25">
      <c r="A42" t="s">
        <v>205</v>
      </c>
      <c r="B42" t="s">
        <v>206</v>
      </c>
      <c r="C42" t="s">
        <v>207</v>
      </c>
      <c r="D42" s="64">
        <v>6.5</v>
      </c>
      <c r="E42" s="83">
        <v>0</v>
      </c>
      <c r="F42">
        <v>0</v>
      </c>
      <c r="G42" s="64">
        <v>5</v>
      </c>
    </row>
    <row r="43" spans="1:7" ht="14.4" customHeight="1" x14ac:dyDescent="0.25">
      <c r="A43" t="s">
        <v>208</v>
      </c>
      <c r="B43" t="s">
        <v>209</v>
      </c>
      <c r="C43" t="s">
        <v>210</v>
      </c>
      <c r="D43" s="64">
        <v>6</v>
      </c>
      <c r="E43" s="83">
        <v>0</v>
      </c>
      <c r="F43">
        <v>0</v>
      </c>
      <c r="G43" s="64">
        <v>10</v>
      </c>
    </row>
    <row r="44" spans="1:7" ht="14.4" customHeight="1" x14ac:dyDescent="0.25">
      <c r="A44" t="s">
        <v>211</v>
      </c>
      <c r="B44" t="s">
        <v>212</v>
      </c>
      <c r="C44" t="s">
        <v>213</v>
      </c>
      <c r="D44" s="64">
        <v>7.41</v>
      </c>
      <c r="E44" s="83">
        <v>3.6328767123287671</v>
      </c>
      <c r="F44" t="s">
        <v>25</v>
      </c>
      <c r="G44" s="64">
        <v>10</v>
      </c>
    </row>
    <row r="45" spans="1:7" ht="14.4" customHeight="1" x14ac:dyDescent="0.25">
      <c r="A45" t="s">
        <v>214</v>
      </c>
      <c r="B45" t="s">
        <v>215</v>
      </c>
      <c r="C45" t="s">
        <v>216</v>
      </c>
      <c r="D45" s="64">
        <v>7.5</v>
      </c>
      <c r="E45" s="83">
        <v>0</v>
      </c>
      <c r="F45" t="s">
        <v>25</v>
      </c>
      <c r="G45" s="64">
        <v>10</v>
      </c>
    </row>
    <row r="46" spans="1:7" ht="14.4" customHeight="1" x14ac:dyDescent="0.25">
      <c r="A46" t="s">
        <v>217</v>
      </c>
      <c r="B46" t="s">
        <v>218</v>
      </c>
      <c r="C46" t="s">
        <v>219</v>
      </c>
      <c r="D46" s="64">
        <v>5.29</v>
      </c>
      <c r="E46" s="83">
        <v>0</v>
      </c>
      <c r="F46">
        <v>0</v>
      </c>
      <c r="G46" s="64">
        <v>10</v>
      </c>
    </row>
    <row r="47" spans="1:7" ht="14.4" customHeight="1" x14ac:dyDescent="0.25">
      <c r="A47" t="s">
        <v>220</v>
      </c>
      <c r="B47" t="s">
        <v>221</v>
      </c>
      <c r="C47" t="s">
        <v>222</v>
      </c>
      <c r="D47" s="64">
        <v>5.3</v>
      </c>
      <c r="E47" s="83">
        <v>0</v>
      </c>
      <c r="F47" t="s">
        <v>411</v>
      </c>
      <c r="G47" s="64">
        <v>10</v>
      </c>
    </row>
    <row r="48" spans="1:7" ht="14.4" customHeight="1" x14ac:dyDescent="0.25">
      <c r="A48" t="s">
        <v>223</v>
      </c>
      <c r="B48" t="s">
        <v>224</v>
      </c>
      <c r="C48" t="s">
        <v>225</v>
      </c>
      <c r="D48" s="64">
        <v>5</v>
      </c>
      <c r="E48" s="83">
        <v>0</v>
      </c>
      <c r="F48" t="s">
        <v>411</v>
      </c>
      <c r="G48" s="64">
        <v>9.6</v>
      </c>
    </row>
    <row r="49" spans="1:7" ht="14.4" customHeight="1" x14ac:dyDescent="0.25">
      <c r="A49" t="s">
        <v>226</v>
      </c>
      <c r="B49" t="s">
        <v>227</v>
      </c>
      <c r="C49" t="s">
        <v>228</v>
      </c>
      <c r="D49" s="64">
        <v>5.45</v>
      </c>
      <c r="E49" s="83">
        <v>0</v>
      </c>
      <c r="F49">
        <v>0</v>
      </c>
      <c r="G49" s="64">
        <v>10</v>
      </c>
    </row>
    <row r="50" spans="1:7" ht="14.4" customHeight="1" x14ac:dyDescent="0.25">
      <c r="A50" t="s">
        <v>229</v>
      </c>
      <c r="B50" t="s">
        <v>230</v>
      </c>
      <c r="C50" t="s">
        <v>231</v>
      </c>
      <c r="D50" s="64">
        <v>7.8</v>
      </c>
      <c r="E50" s="83">
        <v>0</v>
      </c>
      <c r="F50" t="s">
        <v>299</v>
      </c>
      <c r="G50" s="64">
        <v>10</v>
      </c>
    </row>
    <row r="51" spans="1:7" ht="14.4" customHeight="1" x14ac:dyDescent="0.25">
      <c r="A51" t="s">
        <v>232</v>
      </c>
      <c r="B51" t="s">
        <v>233</v>
      </c>
      <c r="C51" t="s">
        <v>234</v>
      </c>
      <c r="D51" s="64">
        <v>6.35</v>
      </c>
      <c r="E51" s="83">
        <v>0</v>
      </c>
      <c r="F51">
        <v>0</v>
      </c>
      <c r="G51" s="64">
        <v>10</v>
      </c>
    </row>
    <row r="52" spans="1:7" ht="14.4" customHeight="1" x14ac:dyDescent="0.25">
      <c r="A52" t="s">
        <v>235</v>
      </c>
      <c r="B52" t="s">
        <v>236</v>
      </c>
      <c r="C52" t="s">
        <v>237</v>
      </c>
      <c r="D52" s="64">
        <v>6.49</v>
      </c>
      <c r="E52" s="83">
        <v>0</v>
      </c>
      <c r="F52">
        <v>0</v>
      </c>
      <c r="G52" s="64">
        <v>10</v>
      </c>
    </row>
    <row r="53" spans="1:7" ht="14.4" customHeight="1" x14ac:dyDescent="0.25">
      <c r="A53" t="s">
        <v>238</v>
      </c>
      <c r="B53" t="s">
        <v>239</v>
      </c>
      <c r="C53" t="s">
        <v>240</v>
      </c>
      <c r="D53" s="64">
        <v>6.5</v>
      </c>
      <c r="E53" s="83">
        <v>0</v>
      </c>
      <c r="F53">
        <v>0</v>
      </c>
      <c r="G53" s="64">
        <v>10</v>
      </c>
    </row>
    <row r="54" spans="1:7" ht="14.4" customHeight="1" x14ac:dyDescent="0.25">
      <c r="A54" t="s">
        <v>241</v>
      </c>
      <c r="B54" t="s">
        <v>242</v>
      </c>
      <c r="C54" t="s">
        <v>243</v>
      </c>
      <c r="D54" s="64">
        <v>6.8</v>
      </c>
      <c r="E54" s="83">
        <v>0</v>
      </c>
      <c r="F54">
        <v>0</v>
      </c>
      <c r="G54" s="64">
        <v>20</v>
      </c>
    </row>
    <row r="55" spans="1:7" ht="14.4" customHeight="1" x14ac:dyDescent="0.25">
      <c r="A55" t="s">
        <v>244</v>
      </c>
      <c r="B55" t="s">
        <v>245</v>
      </c>
      <c r="C55" t="s">
        <v>246</v>
      </c>
      <c r="D55" s="64">
        <v>7.5</v>
      </c>
      <c r="E55" s="83">
        <v>0</v>
      </c>
      <c r="F55" t="s">
        <v>411</v>
      </c>
      <c r="G55" s="64">
        <v>10</v>
      </c>
    </row>
    <row r="56" spans="1:7" ht="14.4" customHeight="1" x14ac:dyDescent="0.25">
      <c r="A56" t="s">
        <v>247</v>
      </c>
      <c r="B56" t="s">
        <v>248</v>
      </c>
      <c r="C56" t="s">
        <v>249</v>
      </c>
      <c r="D56" s="64">
        <v>8.5</v>
      </c>
      <c r="E56" s="83">
        <v>0</v>
      </c>
      <c r="F56">
        <v>0</v>
      </c>
      <c r="G56" s="64">
        <v>10</v>
      </c>
    </row>
    <row r="57" spans="1:7" ht="14.4" customHeight="1" x14ac:dyDescent="0.25">
      <c r="A57" t="s">
        <v>250</v>
      </c>
      <c r="B57" t="s">
        <v>251</v>
      </c>
      <c r="C57" t="s">
        <v>252</v>
      </c>
      <c r="D57" s="64">
        <v>8.5</v>
      </c>
      <c r="E57" s="83">
        <v>0</v>
      </c>
      <c r="F57" t="s">
        <v>411</v>
      </c>
      <c r="G57" s="64">
        <v>13</v>
      </c>
    </row>
    <row r="58" spans="1:7" ht="14.4" customHeight="1" x14ac:dyDescent="0.25">
      <c r="A58" t="s">
        <v>253</v>
      </c>
      <c r="B58" t="s">
        <v>254</v>
      </c>
      <c r="C58" t="s">
        <v>255</v>
      </c>
      <c r="D58" s="64">
        <v>8</v>
      </c>
      <c r="E58" s="83">
        <v>0</v>
      </c>
      <c r="F58" t="s">
        <v>411</v>
      </c>
      <c r="G58" s="64">
        <v>9.6</v>
      </c>
    </row>
    <row r="59" spans="1:7" ht="14.4" customHeight="1" x14ac:dyDescent="0.25">
      <c r="A59" t="s">
        <v>256</v>
      </c>
      <c r="B59" t="s">
        <v>257</v>
      </c>
      <c r="C59" t="s">
        <v>258</v>
      </c>
      <c r="D59" s="64">
        <v>6.95</v>
      </c>
      <c r="E59" s="83">
        <v>0</v>
      </c>
      <c r="F59" t="s">
        <v>411</v>
      </c>
      <c r="G59" s="64">
        <v>5</v>
      </c>
    </row>
    <row r="60" spans="1:7" ht="14.4" customHeight="1" x14ac:dyDescent="0.25">
      <c r="A60" t="s">
        <v>259</v>
      </c>
      <c r="B60" t="s">
        <v>260</v>
      </c>
      <c r="C60" t="s">
        <v>261</v>
      </c>
      <c r="D60" s="64">
        <v>8.5</v>
      </c>
      <c r="E60" s="83">
        <v>0</v>
      </c>
      <c r="F60" t="s">
        <v>25</v>
      </c>
      <c r="G60" s="64">
        <v>4.5999999999999996</v>
      </c>
    </row>
    <row r="61" spans="1:7" ht="14.4" customHeight="1" x14ac:dyDescent="0.25">
      <c r="A61" t="s">
        <v>262</v>
      </c>
      <c r="B61" t="s">
        <v>263</v>
      </c>
      <c r="C61" t="s">
        <v>264</v>
      </c>
      <c r="D61" s="64">
        <v>4.43</v>
      </c>
      <c r="E61" s="83">
        <v>0</v>
      </c>
      <c r="F61" t="s">
        <v>411</v>
      </c>
      <c r="G61" s="64">
        <v>10</v>
      </c>
    </row>
    <row r="62" spans="1:7" ht="14.4" customHeight="1" x14ac:dyDescent="0.25">
      <c r="A62" t="s">
        <v>265</v>
      </c>
      <c r="B62" t="s">
        <v>266</v>
      </c>
      <c r="C62" t="s">
        <v>267</v>
      </c>
      <c r="D62" s="64">
        <v>4.67</v>
      </c>
      <c r="E62" s="83">
        <v>0</v>
      </c>
      <c r="F62" t="s">
        <v>411</v>
      </c>
      <c r="G62" s="64">
        <v>13</v>
      </c>
    </row>
    <row r="63" spans="1:7" ht="14.4" customHeight="1" x14ac:dyDescent="0.25">
      <c r="A63" t="s">
        <v>268</v>
      </c>
      <c r="B63" t="s">
        <v>269</v>
      </c>
      <c r="C63" t="s">
        <v>270</v>
      </c>
      <c r="D63" s="64">
        <v>6.3</v>
      </c>
      <c r="E63" s="83">
        <v>0</v>
      </c>
      <c r="F63" t="s">
        <v>299</v>
      </c>
      <c r="G63" s="64">
        <v>8</v>
      </c>
    </row>
    <row r="64" spans="1:7" ht="14.4" customHeight="1" x14ac:dyDescent="0.25">
      <c r="A64" t="s">
        <v>271</v>
      </c>
      <c r="B64" t="s">
        <v>272</v>
      </c>
      <c r="C64" t="s">
        <v>273</v>
      </c>
      <c r="D64" s="64">
        <v>6.6</v>
      </c>
      <c r="E64" s="83">
        <v>0</v>
      </c>
      <c r="F64" t="s">
        <v>25</v>
      </c>
      <c r="G64" s="64">
        <v>10</v>
      </c>
    </row>
    <row r="65" spans="1:7" ht="14.4" customHeight="1" x14ac:dyDescent="0.25">
      <c r="A65" t="s">
        <v>274</v>
      </c>
      <c r="B65" t="s">
        <v>275</v>
      </c>
      <c r="C65" t="s">
        <v>276</v>
      </c>
      <c r="D65" s="64">
        <v>6.14</v>
      </c>
      <c r="E65" s="83">
        <v>0</v>
      </c>
      <c r="F65" t="s">
        <v>411</v>
      </c>
      <c r="G65" s="64">
        <v>10</v>
      </c>
    </row>
    <row r="66" spans="1:7" ht="14.4" customHeight="1" x14ac:dyDescent="0.25">
      <c r="A66" t="s">
        <v>277</v>
      </c>
      <c r="B66" t="s">
        <v>278</v>
      </c>
      <c r="C66" t="s">
        <v>279</v>
      </c>
      <c r="D66" s="64">
        <v>5.28</v>
      </c>
      <c r="E66" s="83">
        <v>0</v>
      </c>
      <c r="F66" t="s">
        <v>412</v>
      </c>
      <c r="G66" s="64">
        <v>15</v>
      </c>
    </row>
    <row r="67" spans="1:7" ht="14.4" customHeight="1" x14ac:dyDescent="0.25">
      <c r="A67" t="s">
        <v>280</v>
      </c>
      <c r="B67" t="s">
        <v>281</v>
      </c>
      <c r="C67" t="s">
        <v>282</v>
      </c>
      <c r="D67" s="64">
        <v>4.88</v>
      </c>
      <c r="E67" s="83">
        <v>0</v>
      </c>
      <c r="F67" t="s">
        <v>411</v>
      </c>
      <c r="G67" s="64">
        <v>4</v>
      </c>
    </row>
    <row r="68" spans="1:7" ht="14.4" customHeight="1" x14ac:dyDescent="0.25">
      <c r="A68" t="s">
        <v>283</v>
      </c>
      <c r="B68" t="s">
        <v>284</v>
      </c>
      <c r="C68" t="s">
        <v>285</v>
      </c>
      <c r="D68" s="64">
        <v>3.7</v>
      </c>
      <c r="E68" s="83">
        <v>0</v>
      </c>
      <c r="F68" t="s">
        <v>411</v>
      </c>
      <c r="G68" s="64">
        <v>6</v>
      </c>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286</v>
      </c>
      <c r="D72" s="64"/>
      <c r="E72" s="83"/>
      <c r="G72" s="64"/>
    </row>
    <row r="73" spans="1:7" ht="14.4" customHeight="1" x14ac:dyDescent="0.25">
      <c r="D73" s="64"/>
      <c r="E73" s="83"/>
      <c r="G73" s="64"/>
    </row>
    <row r="74" spans="1:7" ht="14.4" customHeight="1" x14ac:dyDescent="0.25">
      <c r="A74" s="143" t="s">
        <v>287</v>
      </c>
      <c r="B74" s="143"/>
      <c r="C74" s="143"/>
      <c r="D74" s="143"/>
      <c r="E74" s="83"/>
      <c r="G74" s="64"/>
    </row>
    <row r="75" spans="1:7" ht="14.4" customHeight="1" x14ac:dyDescent="0.25">
      <c r="A75" s="84" t="s">
        <v>288</v>
      </c>
      <c r="B75" s="84" t="s">
        <v>289</v>
      </c>
      <c r="C75" s="84" t="s">
        <v>290</v>
      </c>
      <c r="D75" s="85" t="s">
        <v>291</v>
      </c>
      <c r="E75" s="83"/>
      <c r="G75" s="64"/>
    </row>
    <row r="76" spans="1:7" ht="14.4" customHeight="1" x14ac:dyDescent="0.25">
      <c r="A76" t="s">
        <v>292</v>
      </c>
      <c r="B76" t="s">
        <v>25</v>
      </c>
      <c r="C76" t="s">
        <v>293</v>
      </c>
      <c r="D76" s="64" t="s">
        <v>294</v>
      </c>
      <c r="E76" s="83"/>
      <c r="G76" s="64"/>
    </row>
    <row r="77" spans="1:7" ht="14.4" customHeight="1" x14ac:dyDescent="0.25">
      <c r="A77" t="s">
        <v>295</v>
      </c>
      <c r="B77" t="s">
        <v>25</v>
      </c>
      <c r="C77" t="s">
        <v>293</v>
      </c>
      <c r="D77" s="64" t="s">
        <v>294</v>
      </c>
      <c r="E77" s="83"/>
      <c r="G77" s="64"/>
    </row>
    <row r="78" spans="1:7" ht="14.4" customHeight="1" x14ac:dyDescent="0.25">
      <c r="A78" t="s">
        <v>296</v>
      </c>
      <c r="B78" t="s">
        <v>25</v>
      </c>
      <c r="C78" t="s">
        <v>293</v>
      </c>
      <c r="D78" s="64" t="s">
        <v>297</v>
      </c>
      <c r="E78" s="83"/>
      <c r="G78" s="64"/>
    </row>
    <row r="79" spans="1:7" ht="14.4" customHeight="1" x14ac:dyDescent="0.25">
      <c r="A79" t="s">
        <v>298</v>
      </c>
      <c r="B79" t="s">
        <v>299</v>
      </c>
      <c r="C79" t="s">
        <v>293</v>
      </c>
      <c r="D79" s="64" t="s">
        <v>294</v>
      </c>
      <c r="E79" s="83"/>
      <c r="G79" s="64"/>
    </row>
    <row r="80" spans="1:7" ht="14.4" customHeight="1" x14ac:dyDescent="0.25">
      <c r="A80" t="s">
        <v>300</v>
      </c>
      <c r="B80" t="s">
        <v>299</v>
      </c>
      <c r="C80" t="s">
        <v>301</v>
      </c>
      <c r="D80" s="64" t="s">
        <v>297</v>
      </c>
      <c r="E80" s="83"/>
      <c r="G80" s="64"/>
    </row>
    <row r="81" spans="1:7" ht="14.4" customHeight="1" x14ac:dyDescent="0.25">
      <c r="A81" t="s">
        <v>302</v>
      </c>
      <c r="B81" t="s">
        <v>25</v>
      </c>
      <c r="C81" t="s">
        <v>301</v>
      </c>
      <c r="D81" s="64" t="s">
        <v>297</v>
      </c>
      <c r="E81" s="83"/>
      <c r="G81" s="64"/>
    </row>
    <row r="82" spans="1:7" ht="14.4" customHeight="1" x14ac:dyDescent="0.25">
      <c r="A82" t="s">
        <v>303</v>
      </c>
      <c r="B82" t="s">
        <v>25</v>
      </c>
      <c r="C82" t="s">
        <v>301</v>
      </c>
      <c r="D82" s="64" t="s">
        <v>297</v>
      </c>
      <c r="E82" s="83"/>
      <c r="G82" s="64"/>
    </row>
    <row r="83" spans="1:7" ht="14.4" customHeight="1" x14ac:dyDescent="0.25">
      <c r="A83" t="s">
        <v>304</v>
      </c>
      <c r="B83" t="s">
        <v>25</v>
      </c>
      <c r="C83" t="s">
        <v>293</v>
      </c>
      <c r="D83" s="64" t="s">
        <v>297</v>
      </c>
      <c r="E83" s="83"/>
      <c r="G83" s="64"/>
    </row>
    <row r="84" spans="1:7" ht="14.4" customHeight="1" x14ac:dyDescent="0.25">
      <c r="A84" t="s">
        <v>305</v>
      </c>
      <c r="B84" t="s">
        <v>25</v>
      </c>
      <c r="C84" t="s">
        <v>293</v>
      </c>
      <c r="D84" s="64" t="s">
        <v>297</v>
      </c>
      <c r="E84" s="83"/>
      <c r="G84" s="64"/>
    </row>
    <row r="85" spans="1:7" ht="14.4" customHeight="1" x14ac:dyDescent="0.25">
      <c r="A85" t="s">
        <v>306</v>
      </c>
      <c r="B85" t="s">
        <v>25</v>
      </c>
      <c r="C85" t="s">
        <v>293</v>
      </c>
      <c r="D85" s="64" t="s">
        <v>297</v>
      </c>
      <c r="E85" s="83"/>
      <c r="G85" s="64"/>
    </row>
    <row r="86" spans="1:7" ht="14.4" customHeight="1" x14ac:dyDescent="0.25">
      <c r="A86" t="s">
        <v>307</v>
      </c>
      <c r="B86" t="s">
        <v>25</v>
      </c>
      <c r="C86" t="s">
        <v>293</v>
      </c>
      <c r="D86" s="64" t="s">
        <v>297</v>
      </c>
      <c r="E86" s="83"/>
      <c r="G86" s="64"/>
    </row>
    <row r="87" spans="1:7" ht="14.4" customHeight="1" x14ac:dyDescent="0.25">
      <c r="A87" t="s">
        <v>308</v>
      </c>
      <c r="B87" t="s">
        <v>25</v>
      </c>
      <c r="C87" t="s">
        <v>293</v>
      </c>
      <c r="D87" s="64" t="s">
        <v>297</v>
      </c>
      <c r="E87" s="83"/>
      <c r="G87" s="64"/>
    </row>
    <row r="88" spans="1:7" ht="14.4" customHeight="1" x14ac:dyDescent="0.25">
      <c r="A88" t="s">
        <v>309</v>
      </c>
      <c r="B88" t="s">
        <v>25</v>
      </c>
      <c r="C88" t="s">
        <v>293</v>
      </c>
      <c r="D88" s="64" t="s">
        <v>297</v>
      </c>
      <c r="E88" s="83"/>
      <c r="G88" s="64"/>
    </row>
    <row r="89" spans="1:7" ht="14.4" customHeight="1" x14ac:dyDescent="0.25">
      <c r="A89" t="s">
        <v>310</v>
      </c>
      <c r="B89" t="s">
        <v>25</v>
      </c>
      <c r="C89" t="s">
        <v>293</v>
      </c>
      <c r="D89" s="64" t="s">
        <v>297</v>
      </c>
      <c r="E89" s="83"/>
      <c r="G89" s="64"/>
    </row>
    <row r="90" spans="1:7" ht="14.4" customHeight="1" x14ac:dyDescent="0.25">
      <c r="A90" t="s">
        <v>311</v>
      </c>
      <c r="B90" t="s">
        <v>25</v>
      </c>
      <c r="C90" t="s">
        <v>293</v>
      </c>
      <c r="D90" s="64" t="s">
        <v>297</v>
      </c>
      <c r="E90" s="83"/>
      <c r="G90" s="64"/>
    </row>
    <row r="91" spans="1:7" ht="14.4" customHeight="1" x14ac:dyDescent="0.25">
      <c r="A91" t="s">
        <v>312</v>
      </c>
      <c r="B91" t="s">
        <v>25</v>
      </c>
      <c r="C91" t="s">
        <v>293</v>
      </c>
      <c r="D91" s="64" t="s">
        <v>297</v>
      </c>
      <c r="E91" s="83"/>
      <c r="G91" s="64"/>
    </row>
    <row r="92" spans="1:7" ht="14.4" customHeight="1" x14ac:dyDescent="0.25">
      <c r="A92" t="s">
        <v>313</v>
      </c>
      <c r="B92" t="s">
        <v>25</v>
      </c>
      <c r="C92" t="s">
        <v>293</v>
      </c>
      <c r="D92" s="64" t="s">
        <v>297</v>
      </c>
      <c r="E92" s="83"/>
      <c r="G92" s="64"/>
    </row>
    <row r="93" spans="1:7" ht="14.4" customHeight="1" x14ac:dyDescent="0.25">
      <c r="A93" t="s">
        <v>314</v>
      </c>
      <c r="B93" t="s">
        <v>25</v>
      </c>
      <c r="C93" t="s">
        <v>293</v>
      </c>
      <c r="D93" s="64" t="s">
        <v>297</v>
      </c>
      <c r="E93" s="83"/>
      <c r="G93" s="64"/>
    </row>
    <row r="94" spans="1:7" ht="14.4" customHeight="1" x14ac:dyDescent="0.25">
      <c r="A94" t="s">
        <v>315</v>
      </c>
      <c r="B94" t="s">
        <v>299</v>
      </c>
      <c r="C94" t="s">
        <v>293</v>
      </c>
      <c r="D94" s="64" t="s">
        <v>297</v>
      </c>
      <c r="E94" s="83"/>
      <c r="G94" s="64"/>
    </row>
    <row r="95" spans="1:7" ht="14.4" customHeight="1" x14ac:dyDescent="0.25">
      <c r="A95" t="s">
        <v>316</v>
      </c>
      <c r="B95" t="s">
        <v>299</v>
      </c>
      <c r="C95" t="s">
        <v>293</v>
      </c>
      <c r="D95" s="64" t="s">
        <v>297</v>
      </c>
      <c r="E95" s="83"/>
      <c r="G95" s="64"/>
    </row>
    <row r="96" spans="1:7" ht="14.4" customHeight="1" x14ac:dyDescent="0.25">
      <c r="A96" t="s">
        <v>317</v>
      </c>
      <c r="B96" t="s">
        <v>299</v>
      </c>
      <c r="C96" t="s">
        <v>293</v>
      </c>
      <c r="D96" s="64" t="s">
        <v>297</v>
      </c>
      <c r="E96" s="83"/>
      <c r="G96" s="64"/>
    </row>
    <row r="97" spans="1:7" ht="14.4" customHeight="1" x14ac:dyDescent="0.25">
      <c r="A97" t="s">
        <v>318</v>
      </c>
      <c r="B97" t="s">
        <v>299</v>
      </c>
      <c r="C97" t="s">
        <v>293</v>
      </c>
      <c r="D97" s="64" t="s">
        <v>297</v>
      </c>
      <c r="E97" s="83"/>
      <c r="G97" s="64"/>
    </row>
    <row r="98" spans="1:7" ht="14.4" customHeight="1" x14ac:dyDescent="0.25">
      <c r="A98" t="s">
        <v>319</v>
      </c>
      <c r="B98" t="s">
        <v>299</v>
      </c>
      <c r="C98" t="s">
        <v>293</v>
      </c>
      <c r="D98" s="64" t="s">
        <v>297</v>
      </c>
      <c r="E98" s="83"/>
      <c r="G98" s="64"/>
    </row>
    <row r="99" spans="1:7" ht="14.4" customHeight="1" x14ac:dyDescent="0.25">
      <c r="A99" t="s">
        <v>320</v>
      </c>
      <c r="B99" t="s">
        <v>299</v>
      </c>
      <c r="C99" t="s">
        <v>293</v>
      </c>
      <c r="D99" s="64" t="s">
        <v>297</v>
      </c>
      <c r="E99" s="83"/>
      <c r="G99" s="64"/>
    </row>
    <row r="100" spans="1:7" ht="14.4" customHeight="1" x14ac:dyDescent="0.25">
      <c r="A100" t="s">
        <v>321</v>
      </c>
      <c r="B100" t="s">
        <v>299</v>
      </c>
      <c r="C100" t="s">
        <v>293</v>
      </c>
      <c r="D100" s="64" t="s">
        <v>297</v>
      </c>
      <c r="E100" s="83"/>
      <c r="G100" s="64"/>
    </row>
    <row r="101" spans="1:7" ht="14.4" customHeight="1" x14ac:dyDescent="0.25">
      <c r="A101" t="s">
        <v>322</v>
      </c>
      <c r="B101" t="s">
        <v>299</v>
      </c>
      <c r="C101" t="s">
        <v>293</v>
      </c>
      <c r="D101" s="64" t="s">
        <v>297</v>
      </c>
      <c r="E101" s="83"/>
      <c r="G101" s="64"/>
    </row>
    <row r="102" spans="1:7" ht="14.4" customHeight="1" x14ac:dyDescent="0.25">
      <c r="A102" t="s">
        <v>323</v>
      </c>
      <c r="B102" t="s">
        <v>299</v>
      </c>
      <c r="C102" t="s">
        <v>293</v>
      </c>
      <c r="D102" s="64" t="s">
        <v>297</v>
      </c>
      <c r="E102" s="83"/>
      <c r="G102" s="64"/>
    </row>
    <row r="103" spans="1:7" ht="14.4" customHeight="1" x14ac:dyDescent="0.25">
      <c r="A103" t="s">
        <v>324</v>
      </c>
      <c r="B103" t="s">
        <v>299</v>
      </c>
      <c r="C103" t="s">
        <v>293</v>
      </c>
      <c r="D103" s="64" t="s">
        <v>297</v>
      </c>
      <c r="E103" s="83"/>
      <c r="G103" s="64"/>
    </row>
    <row r="104" spans="1:7" ht="14.4" customHeight="1" x14ac:dyDescent="0.25">
      <c r="A104" t="s">
        <v>325</v>
      </c>
      <c r="B104" t="s">
        <v>299</v>
      </c>
      <c r="C104" t="s">
        <v>293</v>
      </c>
      <c r="D104" s="64" t="s">
        <v>297</v>
      </c>
      <c r="E104" s="83"/>
      <c r="G104" s="64"/>
    </row>
    <row r="105" spans="1:7" ht="14.4" customHeight="1" x14ac:dyDescent="0.25">
      <c r="A105" t="s">
        <v>326</v>
      </c>
      <c r="B105" t="s">
        <v>299</v>
      </c>
      <c r="C105" t="s">
        <v>293</v>
      </c>
      <c r="D105" s="64" t="s">
        <v>297</v>
      </c>
      <c r="E105" s="83"/>
      <c r="G105" s="64"/>
    </row>
    <row r="106" spans="1:7" ht="14.4" customHeight="1" x14ac:dyDescent="0.25">
      <c r="A106" t="s">
        <v>327</v>
      </c>
      <c r="B106" t="s">
        <v>299</v>
      </c>
      <c r="C106" t="s">
        <v>293</v>
      </c>
      <c r="D106" s="64" t="s">
        <v>297</v>
      </c>
      <c r="E106" s="83"/>
      <c r="G106" s="64"/>
    </row>
    <row r="107" spans="1:7" ht="14.4" customHeight="1" x14ac:dyDescent="0.25">
      <c r="A107" t="s">
        <v>328</v>
      </c>
      <c r="B107" t="s">
        <v>299</v>
      </c>
      <c r="C107" t="s">
        <v>293</v>
      </c>
      <c r="D107" s="64" t="s">
        <v>297</v>
      </c>
      <c r="E107" s="83"/>
      <c r="G107" s="64"/>
    </row>
    <row r="108" spans="1:7" ht="14.4" customHeight="1" x14ac:dyDescent="0.25">
      <c r="A108" t="s">
        <v>329</v>
      </c>
      <c r="B108" t="s">
        <v>299</v>
      </c>
      <c r="C108" t="s">
        <v>293</v>
      </c>
      <c r="D108" s="64" t="s">
        <v>297</v>
      </c>
      <c r="E108" s="83"/>
      <c r="G108" s="64"/>
    </row>
    <row r="109" spans="1:7" ht="14.4" customHeight="1" x14ac:dyDescent="0.25">
      <c r="A109" t="s">
        <v>330</v>
      </c>
      <c r="B109" t="s">
        <v>331</v>
      </c>
      <c r="C109" t="s">
        <v>293</v>
      </c>
      <c r="D109" s="64" t="s">
        <v>297</v>
      </c>
      <c r="E109" s="83"/>
      <c r="G109" s="64"/>
    </row>
    <row r="110" spans="1:7" ht="14.4" customHeight="1" x14ac:dyDescent="0.25">
      <c r="A110" t="s">
        <v>332</v>
      </c>
      <c r="B110" t="s">
        <v>331</v>
      </c>
      <c r="C110" t="s">
        <v>293</v>
      </c>
      <c r="D110" s="64" t="s">
        <v>297</v>
      </c>
      <c r="E110" s="83"/>
      <c r="G110" s="64"/>
    </row>
    <row r="111" spans="1:7" ht="14.4" customHeight="1" x14ac:dyDescent="0.25">
      <c r="A111" t="s">
        <v>333</v>
      </c>
      <c r="B111" t="s">
        <v>331</v>
      </c>
      <c r="C111" t="s">
        <v>293</v>
      </c>
      <c r="D111" s="64" t="s">
        <v>297</v>
      </c>
      <c r="E111" s="83"/>
      <c r="G111" s="64"/>
    </row>
    <row r="112" spans="1:7" ht="14.4" customHeight="1" x14ac:dyDescent="0.25">
      <c r="A112" t="s">
        <v>334</v>
      </c>
      <c r="B112" t="s">
        <v>331</v>
      </c>
      <c r="C112" t="s">
        <v>293</v>
      </c>
      <c r="D112" s="64" t="s">
        <v>297</v>
      </c>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74:D74"/>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0.63773000000000002</v>
      </c>
      <c r="C4" s="57" t="s">
        <v>36</v>
      </c>
      <c r="D4" s="87">
        <v>1.0045999999999999</v>
      </c>
      <c r="E4" s="57" t="s">
        <v>41</v>
      </c>
      <c r="F4" s="86">
        <v>1.1595</v>
      </c>
      <c r="G4" s="57" t="s">
        <v>42</v>
      </c>
      <c r="H4" s="86">
        <v>0.15006800000000001</v>
      </c>
      <c r="I4" s="57"/>
      <c r="J4" s="88"/>
    </row>
    <row r="5" spans="1:10" ht="15.75" customHeight="1" x14ac:dyDescent="0.25">
      <c r="A5" s="57" t="s">
        <v>62</v>
      </c>
      <c r="B5" s="86">
        <v>0.225518</v>
      </c>
      <c r="C5" s="57" t="s">
        <v>63</v>
      </c>
      <c r="D5" s="87">
        <v>0.623</v>
      </c>
      <c r="E5" s="57" t="s">
        <v>64</v>
      </c>
      <c r="F5" s="87">
        <v>43.534100000000002</v>
      </c>
      <c r="G5" s="57" t="s">
        <v>65</v>
      </c>
      <c r="H5" s="86">
        <v>3.5858000000000001E-2</v>
      </c>
      <c r="I5" s="57"/>
      <c r="J5" s="88"/>
    </row>
    <row r="6" spans="1:10" ht="15" customHeight="1" x14ac:dyDescent="0.25">
      <c r="A6" s="57" t="s">
        <v>66</v>
      </c>
      <c r="B6" s="86">
        <v>0.35202</v>
      </c>
      <c r="C6" s="57" t="s">
        <v>39</v>
      </c>
      <c r="D6" s="89">
        <v>0.12039999999999999</v>
      </c>
      <c r="E6" s="57" t="s">
        <v>67</v>
      </c>
      <c r="F6" s="87">
        <v>7.5922000000000001</v>
      </c>
      <c r="G6" s="57" t="s">
        <v>45</v>
      </c>
      <c r="H6" s="86">
        <v>2.6988999999999999E-2</v>
      </c>
      <c r="I6" s="57"/>
      <c r="J6" s="88"/>
    </row>
    <row r="7" spans="1:10" ht="14.25" customHeight="1" x14ac:dyDescent="0.25">
      <c r="A7" s="57" t="s">
        <v>38</v>
      </c>
      <c r="B7" s="89">
        <v>1.2342945316337399</v>
      </c>
      <c r="C7" s="57" t="s">
        <v>68</v>
      </c>
      <c r="D7" s="89">
        <v>1.9665999999999999</v>
      </c>
      <c r="E7" s="57" t="s">
        <v>69</v>
      </c>
      <c r="F7" s="87">
        <v>2.7210999999999999</v>
      </c>
      <c r="G7" s="57" t="s">
        <v>70</v>
      </c>
      <c r="H7" s="86">
        <v>5.5129999999999998E-2</v>
      </c>
      <c r="I7" s="57"/>
      <c r="J7" s="88"/>
    </row>
    <row r="8" spans="1:10" x14ac:dyDescent="0.25">
      <c r="A8" s="57"/>
      <c r="B8" s="90"/>
      <c r="C8" s="57"/>
      <c r="D8" s="91"/>
      <c r="E8" s="57" t="s">
        <v>71</v>
      </c>
      <c r="F8" s="87">
        <v>0.74680000000000002</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6.1303977379999992</v>
      </c>
      <c r="C12" s="57" t="s">
        <v>78</v>
      </c>
      <c r="D12" s="89">
        <v>354.52295590969999</v>
      </c>
      <c r="E12" s="147" t="s">
        <v>79</v>
      </c>
      <c r="F12" s="120"/>
      <c r="G12" s="120"/>
      <c r="H12" s="148">
        <v>411.06254159069999</v>
      </c>
      <c r="I12" s="120"/>
      <c r="J12" s="120"/>
    </row>
    <row r="13" spans="1:10" ht="14.25" customHeight="1" x14ac:dyDescent="0.25">
      <c r="A13" s="57" t="s">
        <v>80</v>
      </c>
      <c r="B13" s="92">
        <v>6.3521978588999994</v>
      </c>
      <c r="C13" s="57" t="s">
        <v>81</v>
      </c>
      <c r="D13" s="89">
        <v>343.13145595049997</v>
      </c>
      <c r="E13" s="147" t="s">
        <v>82</v>
      </c>
      <c r="F13" s="120"/>
      <c r="G13" s="120"/>
      <c r="H13" s="148">
        <v>6.5597689848999998</v>
      </c>
      <c r="I13" s="120"/>
      <c r="J13" s="120"/>
    </row>
    <row r="14" spans="1:10" ht="14.25" customHeight="1" x14ac:dyDescent="0.25">
      <c r="A14" s="57" t="s">
        <v>83</v>
      </c>
      <c r="B14" s="92">
        <v>11.058185381099999</v>
      </c>
      <c r="C14" s="57" t="s">
        <v>84</v>
      </c>
      <c r="D14" s="89">
        <v>301.32045322440001</v>
      </c>
      <c r="E14" s="147" t="s">
        <v>85</v>
      </c>
      <c r="F14" s="120"/>
      <c r="G14" s="120"/>
      <c r="H14" s="148">
        <v>418.27358346629995</v>
      </c>
      <c r="I14" s="120"/>
      <c r="J14" s="120"/>
    </row>
    <row r="15" spans="1:10" ht="14.25" customHeight="1" x14ac:dyDescent="0.25">
      <c r="A15" s="57" t="s">
        <v>86</v>
      </c>
      <c r="B15" s="92">
        <v>208.33815748779998</v>
      </c>
      <c r="C15" s="57" t="s">
        <v>87</v>
      </c>
      <c r="D15" s="89">
        <v>12.817692575799999</v>
      </c>
      <c r="E15" s="147" t="s">
        <v>88</v>
      </c>
      <c r="F15" s="120"/>
      <c r="G15" s="120"/>
      <c r="H15" s="148">
        <v>331.6458298462</v>
      </c>
      <c r="I15" s="120"/>
      <c r="J15" s="120"/>
    </row>
    <row r="16" spans="1:10" ht="14.25" customHeight="1" x14ac:dyDescent="0.25">
      <c r="A16" s="57" t="s">
        <v>89</v>
      </c>
      <c r="B16" s="92">
        <v>11.989288576099998</v>
      </c>
      <c r="C16" s="57" t="s">
        <v>90</v>
      </c>
      <c r="D16" s="89">
        <v>12.943422294600001</v>
      </c>
      <c r="E16" s="147" t="s">
        <v>91</v>
      </c>
      <c r="F16" s="120"/>
      <c r="G16" s="120"/>
      <c r="H16" s="148">
        <v>17.245673292100001</v>
      </c>
      <c r="I16" s="120"/>
      <c r="J16" s="120"/>
    </row>
    <row r="17" spans="1:10" ht="14.25" customHeight="1" x14ac:dyDescent="0.25">
      <c r="A17" s="57" t="s">
        <v>92</v>
      </c>
      <c r="B17" s="92">
        <v>99.921303735099997</v>
      </c>
      <c r="C17" s="57" t="s">
        <v>93</v>
      </c>
      <c r="D17" s="89">
        <v>14.0602995456</v>
      </c>
      <c r="E17" s="147" t="s">
        <v>94</v>
      </c>
      <c r="F17" s="120"/>
      <c r="G17" s="120"/>
      <c r="H17" s="148">
        <v>370.20437187300001</v>
      </c>
      <c r="I17" s="120"/>
      <c r="J17" s="120"/>
    </row>
    <row r="18" spans="1:10" ht="14.25" customHeight="1" x14ac:dyDescent="0.25">
      <c r="A18" s="57" t="s">
        <v>95</v>
      </c>
      <c r="B18" s="92">
        <v>471.67531802050001</v>
      </c>
      <c r="C18" s="57" t="s">
        <v>96</v>
      </c>
      <c r="D18" s="89">
        <v>12.712359530200001</v>
      </c>
      <c r="E18" s="147" t="s">
        <v>97</v>
      </c>
      <c r="F18" s="120"/>
      <c r="G18" s="120"/>
      <c r="H18" s="148">
        <v>48.069211593299997</v>
      </c>
      <c r="I18" s="120"/>
      <c r="J18" s="120"/>
    </row>
    <row r="19" spans="1:10" ht="14.25" customHeight="1" x14ac:dyDescent="0.25">
      <c r="A19" s="57" t="s">
        <v>98</v>
      </c>
      <c r="B19" s="92">
        <v>32.806519999999999</v>
      </c>
      <c r="C19" s="57" t="s">
        <v>99</v>
      </c>
      <c r="D19" s="89">
        <v>12.862461769500001</v>
      </c>
      <c r="E19" s="147" t="s">
        <v>100</v>
      </c>
      <c r="F19" s="120"/>
      <c r="G19" s="120"/>
      <c r="H19" s="148">
        <v>-35.460377662600003</v>
      </c>
      <c r="I19" s="120"/>
      <c r="J19" s="120"/>
    </row>
    <row r="20" spans="1:10" ht="27" customHeight="1" x14ac:dyDescent="0.25">
      <c r="A20" s="57" t="s">
        <v>101</v>
      </c>
      <c r="B20" s="92">
        <v>1.2529686790000001</v>
      </c>
      <c r="C20" s="57" t="s">
        <v>43</v>
      </c>
      <c r="D20" s="89">
        <v>8.9916324976999995</v>
      </c>
      <c r="E20" s="147" t="s">
        <v>102</v>
      </c>
      <c r="F20" s="120"/>
      <c r="G20" s="120"/>
      <c r="H20" s="148">
        <v>1.5101077472</v>
      </c>
      <c r="I20" s="120"/>
      <c r="J20" s="120"/>
    </row>
    <row r="21" spans="1:10" ht="16.5" customHeight="1" x14ac:dyDescent="0.25">
      <c r="A21" s="57" t="s">
        <v>103</v>
      </c>
      <c r="B21" s="92">
        <v>0</v>
      </c>
      <c r="C21" s="57"/>
      <c r="D21" s="93"/>
      <c r="E21" s="147" t="s">
        <v>104</v>
      </c>
      <c r="F21" s="120"/>
      <c r="G21" s="120"/>
      <c r="H21" s="148">
        <v>90.333540999999997</v>
      </c>
      <c r="I21" s="120"/>
      <c r="J21" s="120"/>
    </row>
    <row r="22" spans="1:10" ht="14.25" customHeight="1" x14ac:dyDescent="0.25">
      <c r="A22" s="57" t="s">
        <v>105</v>
      </c>
      <c r="B22" s="92">
        <v>64.410335625599998</v>
      </c>
      <c r="C22" s="57"/>
      <c r="D22" s="93"/>
      <c r="E22" s="147" t="s">
        <v>106</v>
      </c>
      <c r="F22" s="120"/>
      <c r="G22" s="120"/>
      <c r="H22" s="148">
        <v>49.971299999999999</v>
      </c>
      <c r="I22" s="120"/>
      <c r="J22" s="120"/>
    </row>
    <row r="23" spans="1:10" ht="14.25" customHeight="1" x14ac:dyDescent="0.25">
      <c r="A23" s="57" t="s">
        <v>107</v>
      </c>
      <c r="B23" s="92">
        <v>108.24882755799999</v>
      </c>
      <c r="C23" s="57"/>
      <c r="D23" s="93"/>
      <c r="E23" s="147" t="s">
        <v>108</v>
      </c>
      <c r="F23" s="120"/>
      <c r="G23" s="120"/>
      <c r="H23" s="148">
        <v>141.81494874719999</v>
      </c>
      <c r="I23" s="120"/>
      <c r="J23" s="120"/>
    </row>
    <row r="24" spans="1:10" ht="14.25" customHeight="1" x14ac:dyDescent="0.25">
      <c r="A24" s="57" t="s">
        <v>109</v>
      </c>
      <c r="B24" s="92">
        <v>300.80145018569999</v>
      </c>
      <c r="C24" s="94"/>
      <c r="D24" s="91"/>
      <c r="E24" s="147" t="s">
        <v>110</v>
      </c>
      <c r="F24" s="120"/>
      <c r="G24" s="120"/>
      <c r="H24" s="148">
        <v>155.1961269128</v>
      </c>
      <c r="I24" s="120"/>
      <c r="J24" s="120"/>
    </row>
    <row r="25" spans="1:10" ht="14.25" customHeight="1" x14ac:dyDescent="0.25">
      <c r="A25" s="57" t="s">
        <v>111</v>
      </c>
      <c r="B25" s="92">
        <v>170.8738678348</v>
      </c>
      <c r="C25" s="94"/>
      <c r="D25" s="91"/>
      <c r="E25" s="147" t="s">
        <v>112</v>
      </c>
      <c r="F25" s="120"/>
      <c r="G25" s="120"/>
      <c r="H25" s="148">
        <v>181.6003646021</v>
      </c>
      <c r="I25" s="120"/>
      <c r="J25" s="120"/>
    </row>
    <row r="26" spans="1:10" ht="14.25" customHeight="1" x14ac:dyDescent="0.25">
      <c r="A26" s="95" t="s">
        <v>113</v>
      </c>
      <c r="B26" s="92">
        <v>471.67531802050001</v>
      </c>
      <c r="C26" s="94"/>
      <c r="D26" s="91"/>
      <c r="E26" s="147" t="s">
        <v>114</v>
      </c>
      <c r="F26" s="120"/>
      <c r="G26" s="120"/>
      <c r="H26" s="148">
        <v>-39.785415854899995</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335</v>
      </c>
      <c r="B1" s="124"/>
      <c r="C1" s="124"/>
      <c r="D1" s="124"/>
      <c r="E1" s="124"/>
      <c r="F1" s="124"/>
      <c r="G1" s="124"/>
      <c r="H1" s="124"/>
      <c r="I1" s="124"/>
    </row>
    <row r="2" spans="1:10" ht="46.5" customHeight="1" x14ac:dyDescent="0.25">
      <c r="A2" s="54" t="s">
        <v>22</v>
      </c>
      <c r="B2" s="43" t="s">
        <v>344</v>
      </c>
      <c r="C2" s="43" t="s">
        <v>336</v>
      </c>
      <c r="D2" s="43" t="s">
        <v>413</v>
      </c>
      <c r="E2" s="43" t="s">
        <v>350</v>
      </c>
      <c r="F2" s="43" t="s">
        <v>414</v>
      </c>
      <c r="G2" s="43" t="s">
        <v>415</v>
      </c>
      <c r="H2" s="43" t="s">
        <v>416</v>
      </c>
      <c r="I2" s="43" t="s">
        <v>417</v>
      </c>
      <c r="J2" s="43" t="s">
        <v>418</v>
      </c>
    </row>
    <row r="3" spans="1:10" x14ac:dyDescent="0.25">
      <c r="A3" s="54" t="s">
        <v>24</v>
      </c>
      <c r="B3" s="97" t="s">
        <v>25</v>
      </c>
      <c r="C3" s="98" t="s">
        <v>337</v>
      </c>
      <c r="D3" s="97" t="s">
        <v>25</v>
      </c>
      <c r="E3" s="97" t="s">
        <v>25</v>
      </c>
      <c r="F3" s="97" t="s">
        <v>25</v>
      </c>
      <c r="G3" s="97" t="s">
        <v>25</v>
      </c>
      <c r="H3" s="97" t="s">
        <v>25</v>
      </c>
      <c r="I3" s="97" t="s">
        <v>25</v>
      </c>
      <c r="J3" s="97" t="s">
        <v>25</v>
      </c>
    </row>
    <row r="4" spans="1:10" s="7" customFormat="1" x14ac:dyDescent="0.25">
      <c r="A4" s="9" t="s">
        <v>3</v>
      </c>
      <c r="B4" s="99" t="s">
        <v>402</v>
      </c>
      <c r="C4" s="98" t="s">
        <v>337</v>
      </c>
      <c r="D4" s="99" t="s">
        <v>419</v>
      </c>
      <c r="E4" s="99" t="s">
        <v>420</v>
      </c>
      <c r="F4" s="99" t="s">
        <v>402</v>
      </c>
      <c r="G4" s="99" t="s">
        <v>402</v>
      </c>
      <c r="H4" s="99" t="s">
        <v>402</v>
      </c>
      <c r="I4" s="99" t="s">
        <v>420</v>
      </c>
      <c r="J4" s="99" t="s">
        <v>402</v>
      </c>
    </row>
    <row r="5" spans="1:10" s="7" customFormat="1" x14ac:dyDescent="0.25">
      <c r="A5" s="9" t="s">
        <v>29</v>
      </c>
      <c r="B5" s="100" t="s">
        <v>30</v>
      </c>
      <c r="C5" s="98" t="s">
        <v>337</v>
      </c>
      <c r="D5" s="100" t="s">
        <v>30</v>
      </c>
      <c r="E5" s="100" t="s">
        <v>30</v>
      </c>
      <c r="F5" s="100" t="s">
        <v>30</v>
      </c>
      <c r="G5" s="100" t="s">
        <v>30</v>
      </c>
      <c r="H5" s="100" t="s">
        <v>30</v>
      </c>
      <c r="I5" s="100" t="s">
        <v>30</v>
      </c>
      <c r="J5" s="100" t="s">
        <v>30</v>
      </c>
    </row>
    <row r="6" spans="1:10" x14ac:dyDescent="0.25">
      <c r="A6" s="54" t="s">
        <v>32</v>
      </c>
      <c r="B6" s="101">
        <v>471.67531802050001</v>
      </c>
      <c r="C6" s="98">
        <v>169.4435197738857</v>
      </c>
      <c r="D6" s="101">
        <v>171.0244765237</v>
      </c>
      <c r="E6" s="101">
        <v>184.12037106619999</v>
      </c>
      <c r="F6" s="101">
        <v>192.57822745269999</v>
      </c>
      <c r="G6" s="101">
        <v>255.4845722773</v>
      </c>
      <c r="H6" s="101">
        <v>171.0191500375</v>
      </c>
      <c r="I6" s="101">
        <v>80.273274030500005</v>
      </c>
      <c r="J6" s="101">
        <v>131.6045670293</v>
      </c>
    </row>
    <row r="7" spans="1:10" x14ac:dyDescent="0.25">
      <c r="A7" s="54" t="s">
        <v>34</v>
      </c>
      <c r="B7" s="44">
        <v>0.63773000000000002</v>
      </c>
      <c r="C7" s="98">
        <v>0.49447128571428572</v>
      </c>
      <c r="D7" s="44">
        <v>0.57264199999999998</v>
      </c>
      <c r="E7" s="44">
        <v>0.61290699999999998</v>
      </c>
      <c r="F7" s="44">
        <v>0.38896200000000003</v>
      </c>
      <c r="G7" s="44">
        <v>0.46356900000000001</v>
      </c>
      <c r="H7" s="44">
        <v>0.45267000000000002</v>
      </c>
      <c r="I7" s="44">
        <v>0.49005399999999999</v>
      </c>
      <c r="J7" s="44">
        <v>0.48049500000000001</v>
      </c>
    </row>
    <row r="8" spans="1:10" x14ac:dyDescent="0.25">
      <c r="A8" s="54" t="s">
        <v>36</v>
      </c>
      <c r="B8" s="101">
        <v>1.0045999999999999</v>
      </c>
      <c r="C8" s="98">
        <v>1.1935285714285713</v>
      </c>
      <c r="D8" s="101">
        <v>1.2508999999999999</v>
      </c>
      <c r="E8" s="101">
        <v>1.6934</v>
      </c>
      <c r="F8" s="101">
        <v>1.3441000000000001</v>
      </c>
      <c r="G8" s="101">
        <v>0.79420000000000002</v>
      </c>
      <c r="H8" s="101">
        <v>1.1163000000000001</v>
      </c>
      <c r="I8" s="101">
        <v>1.0096000000000001</v>
      </c>
      <c r="J8" s="101">
        <v>1.1462000000000001</v>
      </c>
    </row>
    <row r="9" spans="1:10" x14ac:dyDescent="0.25">
      <c r="A9" s="54" t="s">
        <v>38</v>
      </c>
      <c r="B9" s="97">
        <v>1.2342945316337399</v>
      </c>
      <c r="C9" s="98">
        <v>0.58393621659888584</v>
      </c>
      <c r="D9" s="97">
        <v>0.98558660484410865</v>
      </c>
      <c r="E9" s="97">
        <v>0.91525049521491464</v>
      </c>
      <c r="F9" s="97">
        <v>0.20139655987304594</v>
      </c>
      <c r="G9" s="97">
        <v>0.38331267874133229</v>
      </c>
      <c r="H9" s="97">
        <v>0.65360022064966095</v>
      </c>
      <c r="I9" s="97">
        <v>0.61066954461321088</v>
      </c>
      <c r="J9" s="97">
        <v>0.33773741225592713</v>
      </c>
    </row>
    <row r="10" spans="1:10" ht="21.6" customHeight="1" x14ac:dyDescent="0.25">
      <c r="A10" s="54" t="s">
        <v>39</v>
      </c>
      <c r="B10" s="101">
        <v>0.12039999999999999</v>
      </c>
      <c r="C10" s="98">
        <v>0.2717</v>
      </c>
      <c r="D10" s="101">
        <v>0.18410000000000001</v>
      </c>
      <c r="E10" s="101">
        <v>9.1399999999999995E-2</v>
      </c>
      <c r="F10" s="101">
        <v>0.28910000000000002</v>
      </c>
      <c r="G10" s="101">
        <v>0.30059999999999998</v>
      </c>
      <c r="H10" s="101">
        <v>0.3674</v>
      </c>
      <c r="I10" s="101">
        <v>0.35449999999999998</v>
      </c>
      <c r="J10" s="101">
        <v>0.31480000000000002</v>
      </c>
    </row>
    <row r="11" spans="1:10" x14ac:dyDescent="0.25">
      <c r="A11" s="54" t="s">
        <v>40</v>
      </c>
      <c r="B11" s="101">
        <v>354.52295590969999</v>
      </c>
      <c r="C11" s="98">
        <v>178.83793713999998</v>
      </c>
      <c r="D11" s="101">
        <v>191.5720981531</v>
      </c>
      <c r="E11" s="101">
        <v>117.338432058</v>
      </c>
      <c r="F11" s="101">
        <v>187.41738574130002</v>
      </c>
      <c r="G11" s="101">
        <v>260.89241032169997</v>
      </c>
      <c r="H11" s="101">
        <v>111.32161082330001</v>
      </c>
      <c r="I11" s="101">
        <v>57.7572816088</v>
      </c>
      <c r="J11" s="101">
        <v>325.56634127379999</v>
      </c>
    </row>
    <row r="12" spans="1:10" s="7" customFormat="1" x14ac:dyDescent="0.25">
      <c r="A12" s="9" t="s">
        <v>41</v>
      </c>
      <c r="B12" s="45">
        <v>1.1595</v>
      </c>
      <c r="C12" s="98">
        <v>1.0579285714285713</v>
      </c>
      <c r="D12" s="45">
        <v>1.1539999999999999</v>
      </c>
      <c r="E12" s="45">
        <v>1.3304</v>
      </c>
      <c r="F12" s="45">
        <v>0.97389999999999999</v>
      </c>
      <c r="G12" s="45">
        <v>0.77459999999999996</v>
      </c>
      <c r="H12" s="45">
        <v>1.0130999999999999</v>
      </c>
      <c r="I12" s="45">
        <v>1.1292</v>
      </c>
      <c r="J12" s="45">
        <v>1.0303</v>
      </c>
    </row>
    <row r="13" spans="1:10" s="7" customFormat="1" x14ac:dyDescent="0.25">
      <c r="A13" s="9" t="s">
        <v>42</v>
      </c>
      <c r="B13" s="45">
        <v>0.15006800000000001</v>
      </c>
      <c r="C13" s="98">
        <v>0.24015900000000001</v>
      </c>
      <c r="D13" s="45">
        <v>0.16168600000000002</v>
      </c>
      <c r="E13" s="45">
        <v>0.339231</v>
      </c>
      <c r="F13" s="45">
        <v>0.241705</v>
      </c>
      <c r="G13" s="45">
        <v>0.19416799999999998</v>
      </c>
      <c r="H13" s="45">
        <v>0.25806600000000002</v>
      </c>
      <c r="I13" s="45">
        <v>0.37638500000000003</v>
      </c>
      <c r="J13" s="45">
        <v>0.109872</v>
      </c>
    </row>
    <row r="14" spans="1:10" s="7" customFormat="1" x14ac:dyDescent="0.25">
      <c r="A14" s="9" t="s">
        <v>43</v>
      </c>
      <c r="B14" s="102">
        <v>8.9916324976999995</v>
      </c>
      <c r="C14" s="98">
        <v>11.244429817071429</v>
      </c>
      <c r="D14" s="102">
        <v>7.5400322795000001</v>
      </c>
      <c r="E14" s="102">
        <v>4.4238815548000003</v>
      </c>
      <c r="F14" s="102">
        <v>13.1813622546</v>
      </c>
      <c r="G14" s="102">
        <v>20.414107140399999</v>
      </c>
      <c r="H14" s="102">
        <v>11.9603691483</v>
      </c>
      <c r="I14" s="102">
        <v>8.9266592062000001</v>
      </c>
      <c r="J14" s="102">
        <v>12.264597135699999</v>
      </c>
    </row>
    <row r="15" spans="1:10" x14ac:dyDescent="0.25">
      <c r="A15" s="54" t="s">
        <v>45</v>
      </c>
      <c r="B15" s="44">
        <v>2.6988999999999999E-2</v>
      </c>
      <c r="C15" s="98">
        <v>0.14690357142857141</v>
      </c>
      <c r="D15" s="44">
        <v>0.10701000000000001</v>
      </c>
      <c r="E15" s="44">
        <v>6.337799999999999E-2</v>
      </c>
      <c r="F15" s="44">
        <v>0.12998300000000002</v>
      </c>
      <c r="G15" s="44">
        <v>0.16085199999999999</v>
      </c>
      <c r="H15" s="44">
        <v>0.129187</v>
      </c>
      <c r="I15" s="44">
        <v>0.23877300000000001</v>
      </c>
      <c r="J15" s="44">
        <v>0.19914200000000001</v>
      </c>
    </row>
    <row r="16" spans="1:10" s="7" customFormat="1" ht="25.8" customHeight="1" x14ac:dyDescent="0.25">
      <c r="A16" s="9" t="s">
        <v>46</v>
      </c>
      <c r="B16" s="102">
        <v>48.069211593299997</v>
      </c>
      <c r="C16" s="98">
        <v>20.881807668757144</v>
      </c>
      <c r="D16" s="102">
        <v>53.553632098800001</v>
      </c>
      <c r="E16" s="102">
        <v>24.708648498500001</v>
      </c>
      <c r="F16" s="102">
        <v>7.1502280100000002</v>
      </c>
      <c r="G16" s="102">
        <v>29.158360722399998</v>
      </c>
      <c r="H16" s="102">
        <v>15.441088163900002</v>
      </c>
      <c r="I16" s="102">
        <v>11.218481629200001</v>
      </c>
      <c r="J16" s="102">
        <v>4.9422145584999999</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338</v>
      </c>
      <c r="B1" s="124"/>
      <c r="C1" s="124"/>
      <c r="D1" s="124"/>
      <c r="E1" s="124"/>
      <c r="F1" s="124"/>
    </row>
    <row r="2" spans="1:6" x14ac:dyDescent="0.25">
      <c r="A2" s="51" t="s">
        <v>339</v>
      </c>
      <c r="B2" s="50" t="s">
        <v>340</v>
      </c>
      <c r="C2" s="50" t="s">
        <v>341</v>
      </c>
      <c r="D2" s="50" t="s">
        <v>342</v>
      </c>
      <c r="E2" s="50" t="s">
        <v>291</v>
      </c>
      <c r="F2" s="50" t="s">
        <v>343</v>
      </c>
    </row>
    <row r="3" spans="1:6" ht="48" customHeight="1" x14ac:dyDescent="0.25">
      <c r="A3" s="104">
        <v>43355</v>
      </c>
      <c r="B3" s="52" t="s">
        <v>344</v>
      </c>
      <c r="C3" s="105" t="s">
        <v>345</v>
      </c>
      <c r="D3" s="105"/>
      <c r="E3" s="52" t="s">
        <v>294</v>
      </c>
      <c r="F3" s="105"/>
    </row>
    <row r="4" spans="1:6" ht="49.5" customHeight="1" x14ac:dyDescent="0.25">
      <c r="A4" s="104">
        <v>43306</v>
      </c>
      <c r="B4" s="52" t="s">
        <v>346</v>
      </c>
      <c r="C4" s="105" t="s">
        <v>347</v>
      </c>
      <c r="D4" s="105"/>
      <c r="E4" s="52" t="s">
        <v>348</v>
      </c>
      <c r="F4" s="105" t="s">
        <v>349</v>
      </c>
    </row>
    <row r="5" spans="1:6" ht="79.8" x14ac:dyDescent="0.25">
      <c r="A5" s="104">
        <v>43273</v>
      </c>
      <c r="B5" s="52" t="s">
        <v>350</v>
      </c>
      <c r="C5" s="105" t="s">
        <v>351</v>
      </c>
      <c r="D5" s="105"/>
      <c r="E5" s="52" t="s">
        <v>348</v>
      </c>
      <c r="F5" s="105" t="s">
        <v>352</v>
      </c>
    </row>
    <row r="6" spans="1:6" ht="22.8" x14ac:dyDescent="0.25">
      <c r="A6" s="104">
        <v>43262</v>
      </c>
      <c r="B6" s="52" t="s">
        <v>353</v>
      </c>
      <c r="C6" s="105" t="s">
        <v>351</v>
      </c>
      <c r="D6" s="105"/>
      <c r="E6" s="52" t="s">
        <v>354</v>
      </c>
      <c r="F6" s="105" t="s">
        <v>355</v>
      </c>
    </row>
    <row r="7" spans="1:6" ht="34.200000000000003" x14ac:dyDescent="0.25">
      <c r="A7" s="104">
        <v>43242</v>
      </c>
      <c r="B7" s="52" t="s">
        <v>356</v>
      </c>
      <c r="C7" s="105" t="s">
        <v>351</v>
      </c>
      <c r="D7" s="105"/>
      <c r="E7" s="52" t="s">
        <v>357</v>
      </c>
      <c r="F7" s="105" t="s">
        <v>358</v>
      </c>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3" spans="1:6" x14ac:dyDescent="0.25">
      <c r="A23" s="143" t="s">
        <v>359</v>
      </c>
      <c r="B23" s="143"/>
      <c r="C23" s="143"/>
      <c r="D23" s="143"/>
      <c r="E23" s="143"/>
      <c r="F23" s="143"/>
    </row>
    <row r="24" spans="1:6" x14ac:dyDescent="0.25">
      <c r="A24" s="84" t="s">
        <v>339</v>
      </c>
      <c r="B24" s="84" t="s">
        <v>340</v>
      </c>
      <c r="C24" s="84" t="s">
        <v>360</v>
      </c>
      <c r="D24" s="84" t="s">
        <v>361</v>
      </c>
      <c r="E24" s="84" t="s">
        <v>291</v>
      </c>
      <c r="F24" s="84" t="s">
        <v>343</v>
      </c>
    </row>
    <row r="25" spans="1:6" x14ac:dyDescent="0.25">
      <c r="A25" s="107">
        <v>43483</v>
      </c>
      <c r="B25" s="58" t="s">
        <v>362</v>
      </c>
      <c r="C25" s="108" t="s">
        <v>363</v>
      </c>
      <c r="D25" s="108"/>
      <c r="E25" s="58" t="s">
        <v>294</v>
      </c>
      <c r="F25" s="108" t="s">
        <v>364</v>
      </c>
    </row>
    <row r="26" spans="1:6" x14ac:dyDescent="0.25">
      <c r="A26" s="107">
        <v>43474</v>
      </c>
      <c r="B26" s="58" t="s">
        <v>365</v>
      </c>
      <c r="C26" s="108" t="s">
        <v>366</v>
      </c>
      <c r="D26" s="108"/>
      <c r="E26" s="58" t="s">
        <v>294</v>
      </c>
      <c r="F26" s="108"/>
    </row>
    <row r="27" spans="1:6" x14ac:dyDescent="0.25">
      <c r="A27" s="107">
        <v>43444</v>
      </c>
      <c r="B27" s="58" t="s">
        <v>367</v>
      </c>
      <c r="C27" s="108" t="s">
        <v>368</v>
      </c>
      <c r="D27" s="108"/>
      <c r="E27" s="58" t="s">
        <v>369</v>
      </c>
      <c r="F27" s="108" t="s">
        <v>370</v>
      </c>
    </row>
    <row r="28" spans="1:6" x14ac:dyDescent="0.25">
      <c r="A28" s="107">
        <v>43409</v>
      </c>
      <c r="B28" s="58" t="s">
        <v>371</v>
      </c>
      <c r="C28" s="108" t="s">
        <v>372</v>
      </c>
      <c r="D28" s="108"/>
      <c r="E28" s="58"/>
      <c r="F28" s="108" t="s">
        <v>373</v>
      </c>
    </row>
    <row r="29" spans="1:6" x14ac:dyDescent="0.25">
      <c r="A29" s="107">
        <v>43398</v>
      </c>
      <c r="B29" s="58" t="s">
        <v>374</v>
      </c>
      <c r="C29" s="108"/>
      <c r="D29" s="108" t="s">
        <v>375</v>
      </c>
      <c r="E29" s="58" t="s">
        <v>294</v>
      </c>
      <c r="F29" s="108" t="s">
        <v>376</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377</v>
      </c>
      <c r="B1" s="124"/>
      <c r="C1" s="124"/>
      <c r="D1" s="124"/>
      <c r="E1" s="124"/>
      <c r="F1" s="124"/>
      <c r="G1" s="124"/>
      <c r="H1" s="124"/>
      <c r="I1" s="124"/>
      <c r="J1" s="124"/>
      <c r="K1" s="124"/>
      <c r="L1" s="124"/>
      <c r="M1" s="124"/>
      <c r="N1" s="124"/>
    </row>
    <row r="2" spans="1:18" s="1" customFormat="1" ht="25.5" customHeight="1" x14ac:dyDescent="0.25">
      <c r="A2" s="55" t="s">
        <v>378</v>
      </c>
      <c r="B2" s="55" t="s">
        <v>379</v>
      </c>
      <c r="C2" s="55" t="s">
        <v>380</v>
      </c>
      <c r="D2" s="55" t="s">
        <v>381</v>
      </c>
      <c r="E2" s="55" t="s">
        <v>382</v>
      </c>
      <c r="F2" s="55" t="s">
        <v>383</v>
      </c>
      <c r="G2" s="55" t="s">
        <v>384</v>
      </c>
      <c r="H2" s="55" t="s">
        <v>16</v>
      </c>
      <c r="I2" s="55" t="s">
        <v>385</v>
      </c>
      <c r="J2" s="55" t="s">
        <v>386</v>
      </c>
      <c r="K2" s="55" t="s">
        <v>387</v>
      </c>
      <c r="L2" s="55" t="s">
        <v>388</v>
      </c>
      <c r="M2" s="55" t="s">
        <v>19</v>
      </c>
      <c r="N2" s="55" t="s">
        <v>389</v>
      </c>
      <c r="O2" s="3"/>
      <c r="P2" s="110" t="str">
        <f ca="1">Q2</f>
        <v>2019-04-15</v>
      </c>
      <c r="Q2" s="1" t="str">
        <f ca="1">[1]!td(R2-1)</f>
        <v>2019-04-15</v>
      </c>
      <c r="R2" s="3">
        <f ca="1">TODAY()</f>
        <v>43571</v>
      </c>
    </row>
    <row r="3" spans="1:18" ht="15.75" customHeight="1" x14ac:dyDescent="0.25">
      <c r="A3" s="111" t="str">
        <f>[1]!b_info_name(L3)</f>
        <v>19西王SCP002</v>
      </c>
      <c r="B3" s="2" t="str">
        <f>[1]!b_issue_firstissue(L3)</f>
        <v>2019-04-17</v>
      </c>
      <c r="C3" s="111">
        <f>[1]!b_info_term(L3)</f>
        <v>0.73970000000000002</v>
      </c>
      <c r="D3" s="112" t="str">
        <f>[1]!issuerrating(L3)</f>
        <v>AA+</v>
      </c>
      <c r="E3" s="112" t="str">
        <f>[1]!b_info_creditrating(L3)</f>
        <v>-</v>
      </c>
      <c r="F3" s="111" t="str">
        <f>[1]!b_rate_creditratingagency(L3)</f>
        <v>东方金诚国际信用评估有限公司</v>
      </c>
      <c r="G3" s="113">
        <f>[1]!b_agency_guarantor(L3)</f>
        <v>0</v>
      </c>
      <c r="H3" s="114" t="s">
        <v>390</v>
      </c>
      <c r="I3" s="66"/>
      <c r="J3" s="115" t="s">
        <v>390</v>
      </c>
      <c r="K3" s="116"/>
      <c r="L3" s="41" t="str">
        <f>公式页!A2</f>
        <v>d19041610.IB</v>
      </c>
      <c r="M3" s="114" t="s">
        <v>390</v>
      </c>
      <c r="N3" s="111" t="str">
        <f>[1]!b_agency_leadunderwriter(L3)</f>
        <v>中信建投证券股份有限公司,中国建设银行股份有限公司</v>
      </c>
      <c r="P3" s="109" t="str">
        <f t="shared" ref="P3:P29" ca="1" si="0">$P$2</f>
        <v>2019-04-15</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3.7343999999999999</v>
      </c>
      <c r="K4" s="116">
        <f>K3</f>
        <v>0</v>
      </c>
      <c r="L4" s="4" t="s">
        <v>391</v>
      </c>
      <c r="M4" s="114">
        <f>[1]!b_info_issueamount(L4)/100000000</f>
        <v>5</v>
      </c>
      <c r="N4" s="111" t="str">
        <f>[1]!b_agency_leadunderwriter(L4)</f>
        <v>上海浦东发展银行股份有限公司,中国国际金融股份有限公司</v>
      </c>
      <c r="P4" s="109" t="str">
        <f t="shared" ca="1" si="0"/>
        <v>2019-04-15</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2019-04-15</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2019-04-15</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2019-04-15</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2019-04-15</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2019-04-15</v>
      </c>
    </row>
    <row r="10" spans="1:18" x14ac:dyDescent="0.25">
      <c r="P10" s="109" t="str">
        <f t="shared" ca="1" si="0"/>
        <v>2019-04-15</v>
      </c>
    </row>
    <row r="11" spans="1:18" x14ac:dyDescent="0.25">
      <c r="P11" s="109" t="str">
        <f t="shared" ca="1" si="0"/>
        <v>2019-04-15</v>
      </c>
    </row>
    <row r="12" spans="1:18" x14ac:dyDescent="0.25">
      <c r="A12" s="150" t="s">
        <v>392</v>
      </c>
      <c r="B12" s="124"/>
      <c r="C12" s="124"/>
      <c r="D12" s="124"/>
      <c r="E12" s="124"/>
      <c r="F12" s="124"/>
      <c r="G12" s="124"/>
      <c r="H12" s="124"/>
      <c r="I12" s="124"/>
      <c r="J12" s="124"/>
      <c r="K12" s="124"/>
      <c r="L12" s="124"/>
      <c r="M12" s="124"/>
      <c r="N12" s="124"/>
      <c r="P12" s="109" t="str">
        <f t="shared" ca="1" si="0"/>
        <v>2019-04-15</v>
      </c>
    </row>
    <row r="13" spans="1:18" s="1" customFormat="1" ht="43.2" customHeight="1" x14ac:dyDescent="0.25">
      <c r="A13" s="55" t="s">
        <v>378</v>
      </c>
      <c r="B13" s="55" t="s">
        <v>379</v>
      </c>
      <c r="C13" s="55" t="s">
        <v>380</v>
      </c>
      <c r="D13" s="55" t="s">
        <v>381</v>
      </c>
      <c r="E13" s="55" t="s">
        <v>382</v>
      </c>
      <c r="F13" s="55" t="s">
        <v>383</v>
      </c>
      <c r="G13" s="55" t="s">
        <v>384</v>
      </c>
      <c r="H13" s="55" t="s">
        <v>16</v>
      </c>
      <c r="I13" s="55" t="s">
        <v>385</v>
      </c>
      <c r="J13" s="55" t="s">
        <v>386</v>
      </c>
      <c r="K13" s="55" t="s">
        <v>387</v>
      </c>
      <c r="L13" s="55" t="s">
        <v>388</v>
      </c>
      <c r="M13" s="55" t="s">
        <v>19</v>
      </c>
      <c r="N13" s="55" t="s">
        <v>389</v>
      </c>
      <c r="P13" s="109" t="str">
        <f t="shared" ca="1" si="0"/>
        <v>2019-04-15</v>
      </c>
    </row>
    <row r="14" spans="1:18" ht="15.75" customHeight="1" x14ac:dyDescent="0.25">
      <c r="A14" s="111" t="str">
        <f>[1]!b_info_name(L14)</f>
        <v>19西王SCP002</v>
      </c>
      <c r="B14" s="2" t="str">
        <f>[1]!b_issue_firstissue(L14)</f>
        <v>2019-04-17</v>
      </c>
      <c r="C14" s="111">
        <f>[1]!b_info_term(L14)</f>
        <v>0.73970000000000002</v>
      </c>
      <c r="D14" s="112" t="str">
        <f>[1]!issuerrating(L14)</f>
        <v>AA+</v>
      </c>
      <c r="E14" s="112" t="str">
        <f>[1]!b_info_creditrating(L14)</f>
        <v>-</v>
      </c>
      <c r="F14" s="111" t="str">
        <f>[1]!b_rate_creditratingagency(L14)</f>
        <v>东方金诚国际信用评估有限公司</v>
      </c>
      <c r="G14" s="113">
        <f>[1]!b_agency_guarantor(L14)</f>
        <v>0</v>
      </c>
      <c r="H14" s="114" t="s">
        <v>390</v>
      </c>
      <c r="I14" s="66"/>
      <c r="J14" s="115" t="s">
        <v>390</v>
      </c>
      <c r="K14" s="116">
        <f>K3</f>
        <v>0</v>
      </c>
      <c r="L14" s="42" t="str">
        <f>L3</f>
        <v>d19041610.IB</v>
      </c>
      <c r="M14" s="114" t="s">
        <v>390</v>
      </c>
      <c r="N14" s="111" t="str">
        <f>[1]!b_agency_leadunderwriter(L14)</f>
        <v>中信建投证券股份有限公司,中国建设银行股份有限公司</v>
      </c>
      <c r="P14" s="109" t="str">
        <f t="shared" ca="1" si="0"/>
        <v>2019-04-15</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393</v>
      </c>
      <c r="M15" s="114">
        <f>[1]!b_info_issueamount(L15)/100000000</f>
        <v>5</v>
      </c>
      <c r="N15" s="111" t="str">
        <f>[1]!b_agency_leadunderwriter(L15)</f>
        <v>招商银行股份有限公司</v>
      </c>
      <c r="O15" t="str">
        <f>[1]!b_issuer_windindustry(L15,4)</f>
        <v>西药</v>
      </c>
      <c r="P15" s="109" t="str">
        <f t="shared" ca="1" si="0"/>
        <v>2019-04-15</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394</v>
      </c>
      <c r="M16" s="114">
        <f>[1]!b_info_issueamount(L16)/100000000</f>
        <v>6</v>
      </c>
      <c r="N16" s="111" t="str">
        <f>[1]!b_agency_leadunderwriter(L16)</f>
        <v>北京银行股份有限公司</v>
      </c>
      <c r="O16" t="str">
        <f>[1]!b_issuer_windindustry(L16,4)</f>
        <v>化肥与农用化工</v>
      </c>
      <c r="P16" s="109" t="str">
        <f t="shared" ca="1" si="0"/>
        <v>2019-04-15</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395</v>
      </c>
      <c r="M17" s="114">
        <f>[1]!b_info_issueamount(L17)/100000000</f>
        <v>3.5</v>
      </c>
      <c r="N17" s="111" t="str">
        <f>[1]!b_agency_leadunderwriter(L17)</f>
        <v>华夏银行股份有限公司</v>
      </c>
      <c r="O17" t="str">
        <f>[1]!b_issuer_windindustry(L17,4)</f>
        <v>食品加工与肉类</v>
      </c>
      <c r="P17" s="109" t="str">
        <f t="shared" ca="1" si="0"/>
        <v>2019-04-15</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396</v>
      </c>
      <c r="M18" s="114">
        <f>[1]!b_info_issueamount(L18)/100000000</f>
        <v>3</v>
      </c>
      <c r="N18" s="111" t="str">
        <f>[1]!b_agency_leadunderwriter(L18)</f>
        <v>兴业银行股份有限公司</v>
      </c>
      <c r="O18" t="str">
        <f>[1]!b_issuer_windindustry(L18,4)</f>
        <v>工业机械</v>
      </c>
      <c r="P18" s="109" t="str">
        <f t="shared" ca="1" si="0"/>
        <v>2019-04-15</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397</v>
      </c>
      <c r="M19" s="114">
        <f>[1]!b_info_issueamount(L19)/100000000</f>
        <v>3</v>
      </c>
      <c r="N19" s="111" t="str">
        <f>[1]!b_agency_leadunderwriter(L19)</f>
        <v>中国银行股份有限公司</v>
      </c>
      <c r="O19" t="str">
        <f>[1]!b_issuer_windindustry(L19,4)</f>
        <v>半导体产品</v>
      </c>
      <c r="P19" s="109" t="str">
        <f t="shared" ca="1" si="0"/>
        <v>2019-04-15</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398</v>
      </c>
      <c r="M20" s="114">
        <f>[1]!b_info_issueamount(L20)/100000000</f>
        <v>5</v>
      </c>
      <c r="N20" s="111" t="str">
        <f>[1]!b_agency_leadunderwriter(L20)</f>
        <v>中国银行股份有限公司</v>
      </c>
      <c r="O20" t="str">
        <f>[1]!b_issuer_windindustry(L20,4)</f>
        <v>医疗保健用品</v>
      </c>
      <c r="P20" s="109" t="str">
        <f t="shared" ca="1" si="0"/>
        <v>2019-04-15</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399</v>
      </c>
      <c r="M21" s="114">
        <f>[1]!b_info_issueamount(L21)/100000000</f>
        <v>2</v>
      </c>
      <c r="N21" s="111" t="str">
        <f>[1]!b_agency_leadunderwriter(L21)</f>
        <v>中国银行股份有限公司</v>
      </c>
      <c r="O21" t="str">
        <f>[1]!b_issuer_windindustry(L21,4)</f>
        <v>食品加工与肉类</v>
      </c>
      <c r="P21" s="109" t="str">
        <f t="shared" ca="1" si="0"/>
        <v>2019-04-15</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400</v>
      </c>
      <c r="M22" s="114">
        <f>[1]!b_info_issueamount(L22)/100000000</f>
        <v>4</v>
      </c>
      <c r="N22" s="111" t="str">
        <f>[1]!b_agency_leadunderwriter(L22)</f>
        <v>中国工商银行股份有限公司</v>
      </c>
      <c r="O22" t="str">
        <f>[1]!b_issuer_windindustry(L22,4)</f>
        <v>酒店、度假村与豪华游轮</v>
      </c>
      <c r="P22" s="109" t="str">
        <f t="shared" ca="1" si="0"/>
        <v>2019-04-15</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401</v>
      </c>
      <c r="M23" s="114">
        <f>[1]!b_info_issueamount(L23)/100000000</f>
        <v>4</v>
      </c>
      <c r="N23" s="111" t="str">
        <f>[1]!b_agency_leadunderwriter(L23)</f>
        <v>中国银行股份有限公司</v>
      </c>
      <c r="O23" t="str">
        <f>[1]!b_issuer_windindustry(L23,4)</f>
        <v>金属非金属</v>
      </c>
      <c r="P23" s="109" t="str">
        <f t="shared" ca="1" si="0"/>
        <v>2019-04-15</v>
      </c>
    </row>
    <row r="24" spans="1:16" x14ac:dyDescent="0.25">
      <c r="P24" s="109" t="str">
        <f t="shared" ca="1" si="0"/>
        <v>2019-04-15</v>
      </c>
    </row>
    <row r="25" spans="1:16" x14ac:dyDescent="0.25">
      <c r="P25" s="109" t="str">
        <f t="shared" ca="1" si="0"/>
        <v>2019-04-15</v>
      </c>
    </row>
    <row r="26" spans="1:16" x14ac:dyDescent="0.25">
      <c r="P26" s="109" t="str">
        <f t="shared" ca="1" si="0"/>
        <v>2019-04-15</v>
      </c>
    </row>
    <row r="27" spans="1:16" x14ac:dyDescent="0.25">
      <c r="P27" s="109" t="str">
        <f t="shared" ca="1" si="0"/>
        <v>2019-04-15</v>
      </c>
    </row>
    <row r="28" spans="1:16" x14ac:dyDescent="0.25">
      <c r="P28" s="109" t="str">
        <f t="shared" ca="1" si="0"/>
        <v>2019-04-15</v>
      </c>
    </row>
    <row r="29" spans="1:16" x14ac:dyDescent="0.25">
      <c r="P29" s="109"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2019-04-16T08:32:17Z</dcterms:modified>
</cp:coreProperties>
</file>