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7新券信评\"/>
    </mc:Choice>
  </mc:AlternateContent>
  <xr:revisionPtr revIDLastSave="0" documentId="13_ncr:1_{B3A1EF7D-9BD9-452F-A442-6E9D629A461C}" xr6:coauthVersionLast="43" xr6:coauthVersionMax="43" xr10:uidLastSave="{00000000-0000-0000-0000-000000000000}"/>
  <bookViews>
    <workbookView xWindow="-108" yWindow="-108" windowWidth="23256" windowHeight="12576" activeTab="1"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G23" i="6"/>
  <c r="D22" i="6"/>
  <c r="F20" i="6"/>
  <c r="C19" i="6"/>
  <c r="E17" i="6"/>
  <c r="B16" i="6"/>
  <c r="N14" i="6"/>
  <c r="G9" i="6"/>
  <c r="D8" i="6"/>
  <c r="B6" i="6"/>
  <c r="N4" i="6"/>
  <c r="B3" i="6"/>
  <c r="N22" i="6"/>
  <c r="H21" i="6"/>
  <c r="M19" i="6"/>
  <c r="G18" i="6"/>
  <c r="D17" i="6"/>
  <c r="F15" i="6"/>
  <c r="F9" i="6"/>
  <c r="C8" i="6"/>
  <c r="E6" i="6"/>
  <c r="M4" i="6"/>
  <c r="E3" i="6"/>
  <c r="M22" i="6"/>
  <c r="C21" i="6"/>
  <c r="B18" i="6"/>
  <c r="A15" i="6"/>
  <c r="B7" i="6"/>
  <c r="G3" i="6"/>
  <c r="S134" i="1"/>
  <c r="O129" i="1"/>
  <c r="S109" i="1"/>
  <c r="G102" i="1"/>
  <c r="E101" i="1"/>
  <c r="C100" i="1"/>
  <c r="O23" i="6"/>
  <c r="O19" i="6"/>
  <c r="N16" i="6"/>
  <c r="N9" i="6"/>
  <c r="N6" i="6"/>
  <c r="B4" i="6"/>
  <c r="S137" i="1"/>
  <c r="S131" i="1"/>
  <c r="M121" i="1"/>
  <c r="M117" i="1"/>
  <c r="F110" i="1"/>
  <c r="F102" i="1"/>
  <c r="D101" i="1"/>
  <c r="B100" i="1"/>
  <c r="G21" i="6"/>
  <c r="H16" i="6"/>
  <c r="F7" i="6"/>
  <c r="Q2" i="6"/>
  <c r="M131" i="1"/>
  <c r="O103" i="1"/>
  <c r="J100" i="1"/>
  <c r="N98" i="1"/>
  <c r="L97" i="1"/>
  <c r="G96" i="1"/>
  <c r="C94" i="1"/>
  <c r="E91" i="1"/>
  <c r="G88" i="1"/>
  <c r="C86" i="1"/>
  <c r="E83" i="1"/>
  <c r="G80" i="1"/>
  <c r="C78" i="1"/>
  <c r="E75" i="1"/>
  <c r="G72" i="1"/>
  <c r="C70" i="1"/>
  <c r="E67" i="1"/>
  <c r="G64" i="1"/>
  <c r="C62" i="1"/>
  <c r="E59" i="1"/>
  <c r="G56" i="1"/>
  <c r="C54" i="1"/>
  <c r="E51" i="1"/>
  <c r="G48" i="1"/>
  <c r="C46" i="1"/>
  <c r="E43" i="1"/>
  <c r="G40" i="1"/>
  <c r="C38" i="1"/>
  <c r="E35" i="1"/>
  <c r="G32" i="1"/>
  <c r="C30" i="1"/>
  <c r="R28" i="1"/>
  <c r="P27" i="1"/>
  <c r="N26" i="1"/>
  <c r="L25" i="1"/>
  <c r="G24" i="1"/>
  <c r="E23" i="1"/>
  <c r="L21" i="1"/>
  <c r="G20" i="1"/>
  <c r="E19" i="1"/>
  <c r="L17" i="1"/>
  <c r="C16" i="1"/>
  <c r="G14" i="1"/>
  <c r="B6" i="1"/>
  <c r="C20" i="6"/>
  <c r="A9" i="6"/>
  <c r="A5" i="6"/>
  <c r="S132" i="1"/>
  <c r="D110" i="1"/>
  <c r="P100" i="1"/>
  <c r="Q98" i="1"/>
  <c r="O97" i="1"/>
  <c r="M96" i="1"/>
  <c r="F94" i="1"/>
  <c r="B92" i="1"/>
  <c r="D89" i="1"/>
  <c r="F86" i="1"/>
  <c r="B84" i="1"/>
  <c r="D81" i="1"/>
  <c r="F78" i="1"/>
  <c r="B76" i="1"/>
  <c r="D73" i="1"/>
  <c r="F70" i="1"/>
  <c r="B68" i="1"/>
  <c r="D65" i="1"/>
  <c r="F62" i="1"/>
  <c r="B60" i="1"/>
  <c r="D57" i="1"/>
  <c r="F54" i="1"/>
  <c r="B52" i="1"/>
  <c r="D49" i="1"/>
  <c r="F46" i="1"/>
  <c r="B44" i="1"/>
  <c r="D41" i="1"/>
  <c r="C23" i="6"/>
  <c r="E21" i="6"/>
  <c r="B20" i="6"/>
  <c r="O18" i="6"/>
  <c r="A17" i="6"/>
  <c r="N15" i="6"/>
  <c r="F14" i="6"/>
  <c r="C9" i="6"/>
  <c r="E7" i="6"/>
  <c r="M5" i="6"/>
  <c r="H4" i="6"/>
  <c r="M23" i="6"/>
  <c r="G22" i="6"/>
  <c r="D21" i="6"/>
  <c r="F19" i="6"/>
  <c r="C18" i="6"/>
  <c r="E16" i="6"/>
  <c r="B15" i="6"/>
  <c r="B9" i="6"/>
  <c r="N7" i="6"/>
  <c r="A6" i="6"/>
  <c r="G4" i="6"/>
  <c r="A3" i="6"/>
  <c r="F22" i="6"/>
  <c r="H20" i="6"/>
  <c r="G17" i="6"/>
  <c r="D14" i="6"/>
  <c r="H6" i="6"/>
  <c r="M140" i="1"/>
  <c r="O133" i="1"/>
  <c r="S128" i="1"/>
  <c r="D109" i="1"/>
  <c r="C102" i="1"/>
  <c r="R100" i="1"/>
  <c r="P99" i="1"/>
  <c r="M21" i="6"/>
  <c r="D19" i="6"/>
  <c r="C16" i="6"/>
  <c r="E9" i="6"/>
  <c r="G6" i="6"/>
  <c r="D3" i="6"/>
  <c r="S135" i="1"/>
  <c r="M129" i="1"/>
  <c r="M120" i="1"/>
  <c r="M116" i="1"/>
  <c r="M109" i="1"/>
  <c r="B102" i="1"/>
  <c r="Q100" i="1"/>
  <c r="O99" i="1"/>
  <c r="D20" i="6"/>
  <c r="E15" i="6"/>
  <c r="D6" i="6"/>
  <c r="S140" i="1"/>
  <c r="S129" i="1"/>
  <c r="D102" i="1"/>
  <c r="Q99" i="1"/>
  <c r="G98" i="1"/>
  <c r="E97" i="1"/>
  <c r="C96" i="1"/>
  <c r="E93" i="1"/>
  <c r="G90" i="1"/>
  <c r="C88" i="1"/>
  <c r="E85" i="1"/>
  <c r="G82" i="1"/>
  <c r="C80" i="1"/>
  <c r="E77" i="1"/>
  <c r="G74" i="1"/>
  <c r="C72" i="1"/>
  <c r="E69" i="1"/>
  <c r="G66" i="1"/>
  <c r="C64" i="1"/>
  <c r="E61" i="1"/>
  <c r="G58" i="1"/>
  <c r="C56" i="1"/>
  <c r="E53" i="1"/>
  <c r="G50" i="1"/>
  <c r="C48" i="1"/>
  <c r="E45" i="1"/>
  <c r="G42" i="1"/>
  <c r="C40" i="1"/>
  <c r="E37" i="1"/>
  <c r="G34" i="1"/>
  <c r="C32" i="1"/>
  <c r="P29" i="1"/>
  <c r="N28" i="1"/>
  <c r="L27" i="1"/>
  <c r="G26" i="1"/>
  <c r="E25" i="1"/>
  <c r="C24" i="1"/>
  <c r="G22" i="1"/>
  <c r="E21" i="1"/>
  <c r="C20" i="1"/>
  <c r="G18" i="1"/>
  <c r="E17" i="1"/>
  <c r="P15" i="1"/>
  <c r="C14" i="1"/>
  <c r="B4" i="1"/>
  <c r="M17" i="6"/>
  <c r="A8" i="6"/>
  <c r="A4" i="6"/>
  <c r="S130" i="1"/>
  <c r="L103" i="1"/>
  <c r="E100" i="1"/>
  <c r="M98" i="1"/>
  <c r="J97" i="1"/>
  <c r="F96" i="1"/>
  <c r="B94" i="1"/>
  <c r="D91" i="1"/>
  <c r="F88" i="1"/>
  <c r="B86" i="1"/>
  <c r="D83" i="1"/>
  <c r="F80" i="1"/>
  <c r="B78" i="1"/>
  <c r="D75" i="1"/>
  <c r="F72" i="1"/>
  <c r="B70" i="1"/>
  <c r="D67" i="1"/>
  <c r="F64" i="1"/>
  <c r="B62" i="1"/>
  <c r="D59" i="1"/>
  <c r="F56" i="1"/>
  <c r="B54" i="1"/>
  <c r="D51" i="1"/>
  <c r="F48" i="1"/>
  <c r="B46" i="1"/>
  <c r="D43" i="1"/>
  <c r="F40" i="1"/>
  <c r="A21" i="6"/>
  <c r="H18" i="6"/>
  <c r="G15" i="6"/>
  <c r="N8" i="6"/>
  <c r="G5" i="6"/>
  <c r="F23" i="6"/>
  <c r="E20" i="6"/>
  <c r="O17" i="6"/>
  <c r="E14" i="6"/>
  <c r="H7" i="6"/>
  <c r="C4" i="6"/>
  <c r="B22" i="6"/>
  <c r="O16" i="6"/>
  <c r="H5" i="6"/>
  <c r="M132" i="1"/>
  <c r="R103" i="1"/>
  <c r="N100" i="1"/>
  <c r="B21" i="6"/>
  <c r="H15" i="6"/>
  <c r="N5" i="6"/>
  <c r="O134" i="1"/>
  <c r="M119" i="1"/>
  <c r="Q103" i="1"/>
  <c r="M100" i="1"/>
  <c r="A19" i="6"/>
  <c r="D5" i="6"/>
  <c r="M110" i="1"/>
  <c r="F99" i="1"/>
  <c r="R96" i="1"/>
  <c r="G92" i="1"/>
  <c r="E87" i="1"/>
  <c r="C82" i="1"/>
  <c r="G76" i="1"/>
  <c r="E71" i="1"/>
  <c r="C66" i="1"/>
  <c r="G60" i="1"/>
  <c r="E55" i="1"/>
  <c r="C50" i="1"/>
  <c r="G44" i="1"/>
  <c r="E39" i="1"/>
  <c r="C34" i="1"/>
  <c r="L29" i="1"/>
  <c r="E27" i="1"/>
  <c r="R24" i="1"/>
  <c r="C22" i="1"/>
  <c r="P19" i="1"/>
  <c r="R16" i="1"/>
  <c r="F10" i="1"/>
  <c r="G16" i="6"/>
  <c r="M139" i="1"/>
  <c r="R101" i="1"/>
  <c r="F98" i="1"/>
  <c r="B96" i="1"/>
  <c r="F90" i="1"/>
  <c r="D85" i="1"/>
  <c r="B80" i="1"/>
  <c r="F74" i="1"/>
  <c r="D69" i="1"/>
  <c r="B64" i="1"/>
  <c r="F58" i="1"/>
  <c r="D53" i="1"/>
  <c r="B48" i="1"/>
  <c r="F42" i="1"/>
  <c r="F38" i="1"/>
  <c r="B36" i="1"/>
  <c r="D33" i="1"/>
  <c r="F30" i="1"/>
  <c r="D29" i="1"/>
  <c r="B28" i="1"/>
  <c r="Q26" i="1"/>
  <c r="O25" i="1"/>
  <c r="M24" i="1"/>
  <c r="J23" i="1"/>
  <c r="O21" i="1"/>
  <c r="M20" i="1"/>
  <c r="J19" i="1"/>
  <c r="O17" i="1"/>
  <c r="F16" i="1"/>
  <c r="D15" i="1"/>
  <c r="B8" i="1"/>
  <c r="F18" i="6"/>
  <c r="A22" i="6"/>
  <c r="M128" i="1"/>
  <c r="F101" i="1"/>
  <c r="R97" i="1"/>
  <c r="C95" i="1"/>
  <c r="G89" i="1"/>
  <c r="E84" i="1"/>
  <c r="C79" i="1"/>
  <c r="G73" i="1"/>
  <c r="E68" i="1"/>
  <c r="C63" i="1"/>
  <c r="G57" i="1"/>
  <c r="E52" i="1"/>
  <c r="C47" i="1"/>
  <c r="G41" i="1"/>
  <c r="E36" i="1"/>
  <c r="C31" i="1"/>
  <c r="E28" i="1"/>
  <c r="R25" i="1"/>
  <c r="N23" i="1"/>
  <c r="P20" i="1"/>
  <c r="R17" i="1"/>
  <c r="G15" i="1"/>
  <c r="P98" i="1"/>
  <c r="E86" i="1"/>
  <c r="C77" i="1"/>
  <c r="C65" i="1"/>
  <c r="N23" i="6"/>
  <c r="M20" i="6"/>
  <c r="D18" i="6"/>
  <c r="C15" i="6"/>
  <c r="H8" i="6"/>
  <c r="C5" i="6"/>
  <c r="B23" i="6"/>
  <c r="A20" i="6"/>
  <c r="H17" i="6"/>
  <c r="A14" i="6"/>
  <c r="D7" i="6"/>
  <c r="N3" i="6"/>
  <c r="N21" i="6"/>
  <c r="D16" i="6"/>
  <c r="E4" i="6"/>
  <c r="M130" i="1"/>
  <c r="N103" i="1"/>
  <c r="G100" i="1"/>
  <c r="G20" i="6"/>
  <c r="C14" i="6"/>
  <c r="E5" i="6"/>
  <c r="M133" i="1"/>
  <c r="M118" i="1"/>
  <c r="M103" i="1"/>
  <c r="F100" i="1"/>
  <c r="N17" i="6"/>
  <c r="F4" i="6"/>
  <c r="F109" i="1"/>
  <c r="R98" i="1"/>
  <c r="N96" i="1"/>
  <c r="C92" i="1"/>
  <c r="G86" i="1"/>
  <c r="E81" i="1"/>
  <c r="C76" i="1"/>
  <c r="G70" i="1"/>
  <c r="E65" i="1"/>
  <c r="C60" i="1"/>
  <c r="G54" i="1"/>
  <c r="E49" i="1"/>
  <c r="C44" i="1"/>
  <c r="G38" i="1"/>
  <c r="E33" i="1"/>
  <c r="E29" i="1"/>
  <c r="R26" i="1"/>
  <c r="N24" i="1"/>
  <c r="P21" i="1"/>
  <c r="L19" i="1"/>
  <c r="G16" i="1"/>
  <c r="F8" i="1"/>
  <c r="D15" i="6"/>
  <c r="O135" i="1"/>
  <c r="G101" i="1"/>
  <c r="B98" i="1"/>
  <c r="D95" i="1"/>
  <c r="B90" i="1"/>
  <c r="F84" i="1"/>
  <c r="D79" i="1"/>
  <c r="B74" i="1"/>
  <c r="F68" i="1"/>
  <c r="D63" i="1"/>
  <c r="B58" i="1"/>
  <c r="F52" i="1"/>
  <c r="D47" i="1"/>
  <c r="B42" i="1"/>
  <c r="B38" i="1"/>
  <c r="D35" i="1"/>
  <c r="F32" i="1"/>
  <c r="B30" i="1"/>
  <c r="Q28" i="1"/>
  <c r="O27" i="1"/>
  <c r="M26" i="1"/>
  <c r="J25" i="1"/>
  <c r="F24" i="1"/>
  <c r="D23" i="1"/>
  <c r="J21" i="1"/>
  <c r="F20" i="1"/>
  <c r="D19" i="1"/>
  <c r="J17" i="1"/>
  <c r="B16" i="1"/>
  <c r="F14" i="1"/>
  <c r="E5" i="1"/>
  <c r="C17" i="6"/>
  <c r="B17" i="6"/>
  <c r="M123" i="1"/>
  <c r="D100" i="1"/>
  <c r="G97" i="1"/>
  <c r="G93" i="1"/>
  <c r="E88" i="1"/>
  <c r="C83" i="1"/>
  <c r="G77" i="1"/>
  <c r="E72" i="1"/>
  <c r="C67" i="1"/>
  <c r="G61" i="1"/>
  <c r="E56" i="1"/>
  <c r="C51" i="1"/>
  <c r="G45" i="1"/>
  <c r="E40" i="1"/>
  <c r="C35" i="1"/>
  <c r="R29" i="1"/>
  <c r="N27" i="1"/>
  <c r="G25" i="1"/>
  <c r="C23" i="1"/>
  <c r="E20" i="1"/>
  <c r="G17" i="1"/>
  <c r="E14" i="1"/>
  <c r="E94" i="1"/>
  <c r="C85" i="1"/>
  <c r="E74" i="1"/>
  <c r="E62" i="1"/>
  <c r="C53" i="1"/>
  <c r="C45" i="1"/>
  <c r="G31" i="1"/>
  <c r="N25" i="1"/>
  <c r="G23" i="1"/>
  <c r="L20" i="1"/>
  <c r="N17" i="1"/>
  <c r="C15" i="1"/>
  <c r="C3" i="6"/>
  <c r="G99" i="1"/>
  <c r="D94" i="1"/>
  <c r="B81" i="1"/>
  <c r="B65" i="1"/>
  <c r="F47" i="1"/>
  <c r="D34" i="1"/>
  <c r="B25" i="1"/>
  <c r="M17" i="1"/>
  <c r="O15" i="6"/>
  <c r="H22" i="6"/>
  <c r="F16" i="6"/>
  <c r="F6" i="6"/>
  <c r="O21" i="6"/>
  <c r="M15" i="6"/>
  <c r="B5" i="6"/>
  <c r="M18" i="6"/>
  <c r="M136" i="1"/>
  <c r="L101" i="1"/>
  <c r="F17" i="6"/>
  <c r="S139" i="1"/>
  <c r="M111" i="1"/>
  <c r="H23" i="6"/>
  <c r="S133" i="1"/>
  <c r="P97" i="1"/>
  <c r="E89" i="1"/>
  <c r="G78" i="1"/>
  <c r="C68" i="1"/>
  <c r="E57" i="1"/>
  <c r="G46" i="1"/>
  <c r="C36" i="1"/>
  <c r="C28" i="1"/>
  <c r="L23" i="1"/>
  <c r="P17" i="1"/>
  <c r="F21" i="6"/>
  <c r="F113" i="1"/>
  <c r="Q96" i="1"/>
  <c r="D87" i="1"/>
  <c r="F76" i="1"/>
  <c r="B66" i="1"/>
  <c r="D55" i="1"/>
  <c r="F44" i="1"/>
  <c r="F36" i="1"/>
  <c r="D31" i="1"/>
  <c r="F28" i="1"/>
  <c r="B26" i="1"/>
  <c r="O23" i="1"/>
  <c r="Q20" i="1"/>
  <c r="B18" i="1"/>
  <c r="J15" i="1"/>
  <c r="O20" i="6"/>
  <c r="O131" i="1"/>
  <c r="L98" i="1"/>
  <c r="C91" i="1"/>
  <c r="E80" i="1"/>
  <c r="G69" i="1"/>
  <c r="C59" i="1"/>
  <c r="E48" i="1"/>
  <c r="G37" i="1"/>
  <c r="P28" i="1"/>
  <c r="E24" i="1"/>
  <c r="C19" i="1"/>
  <c r="B5" i="1"/>
  <c r="G79" i="1"/>
  <c r="E58" i="1"/>
  <c r="G47" i="1"/>
  <c r="N29" i="1"/>
  <c r="L24" i="1"/>
  <c r="C21" i="1"/>
  <c r="C17" i="1"/>
  <c r="F7" i="1"/>
  <c r="N101" i="1"/>
  <c r="D90" i="1"/>
  <c r="B73" i="1"/>
  <c r="F51" i="1"/>
  <c r="D30" i="1"/>
  <c r="M21" i="1"/>
  <c r="N20" i="6"/>
  <c r="F111" i="1"/>
  <c r="B99" i="1"/>
  <c r="O96" i="1"/>
  <c r="D92" i="1"/>
  <c r="B87" i="1"/>
  <c r="F81" i="1"/>
  <c r="D76" i="1"/>
  <c r="B71" i="1"/>
  <c r="F65" i="1"/>
  <c r="D60" i="1"/>
  <c r="B55" i="1"/>
  <c r="F49" i="1"/>
  <c r="D44" i="1"/>
  <c r="B39" i="1"/>
  <c r="F33" i="1"/>
  <c r="F29" i="1"/>
  <c r="B27" i="1"/>
  <c r="O24" i="1"/>
  <c r="Q21" i="1"/>
  <c r="M19" i="1"/>
  <c r="J16" i="1"/>
  <c r="B9" i="1"/>
  <c r="M134" i="1"/>
  <c r="M99" i="1"/>
  <c r="L96" i="1"/>
  <c r="G87" i="1"/>
  <c r="G75" i="1"/>
  <c r="E66" i="1"/>
  <c r="E54" i="1"/>
  <c r="E42" i="1"/>
  <c r="C33" i="1"/>
  <c r="G27" i="1"/>
  <c r="P103" i="1"/>
  <c r="F95" i="1"/>
  <c r="B85" i="1"/>
  <c r="F71" i="1"/>
  <c r="F55" i="1"/>
  <c r="F39" i="1"/>
  <c r="F27" i="1"/>
  <c r="J20" i="1"/>
  <c r="F79" i="1"/>
  <c r="D62" i="1"/>
  <c r="D46" i="1"/>
  <c r="B29" i="1"/>
  <c r="B21" i="1"/>
  <c r="B11" i="1"/>
  <c r="E96" i="1"/>
  <c r="G53" i="1"/>
  <c r="E32" i="1"/>
  <c r="G21" i="1"/>
  <c r="C89" i="1"/>
  <c r="G51" i="1"/>
  <c r="E26" i="1"/>
  <c r="G19" i="1"/>
  <c r="O132" i="1"/>
  <c r="F83" i="1"/>
  <c r="B41" i="1"/>
  <c r="M15" i="1"/>
  <c r="C101" i="1"/>
  <c r="B95" i="1"/>
  <c r="F89" i="1"/>
  <c r="B79" i="1"/>
  <c r="D68" i="1"/>
  <c r="D52" i="1"/>
  <c r="F41" i="1"/>
  <c r="D36" i="1"/>
  <c r="D28" i="1"/>
  <c r="M23" i="1"/>
  <c r="Q17" i="1"/>
  <c r="H19" i="6"/>
  <c r="N97" i="1"/>
  <c r="C81" i="1"/>
  <c r="C61" i="1"/>
  <c r="C37" i="1"/>
  <c r="G14" i="6"/>
  <c r="B89" i="1"/>
  <c r="F63" i="1"/>
  <c r="B33" i="1"/>
  <c r="D16" i="1"/>
  <c r="D54" i="1"/>
  <c r="M25" i="1"/>
  <c r="M16" i="6"/>
  <c r="C22" i="6"/>
  <c r="A16" i="6"/>
  <c r="E19" i="6"/>
  <c r="P101" i="1"/>
  <c r="S141" i="1"/>
  <c r="J99" i="1"/>
  <c r="C98" i="1"/>
  <c r="E79" i="1"/>
  <c r="C58" i="1"/>
  <c r="G36" i="1"/>
  <c r="P23" i="1"/>
  <c r="D23" i="6"/>
  <c r="D97" i="1"/>
  <c r="B88" i="1"/>
  <c r="B56" i="1"/>
  <c r="D37" i="1"/>
  <c r="M28" i="1"/>
  <c r="B24" i="1"/>
  <c r="F18" i="1"/>
  <c r="E22" i="6"/>
  <c r="C99" i="1"/>
  <c r="G81" i="1"/>
  <c r="E60" i="1"/>
  <c r="G29" i="1"/>
  <c r="N19" i="1"/>
  <c r="E82" i="1"/>
  <c r="C49" i="1"/>
  <c r="C25" i="1"/>
  <c r="N21" i="1"/>
  <c r="F11" i="1"/>
  <c r="J96" i="1"/>
  <c r="D38" i="1"/>
  <c r="Q23" i="1"/>
  <c r="M127" i="1"/>
  <c r="F97" i="1"/>
  <c r="D88" i="1"/>
  <c r="F77" i="1"/>
  <c r="B67" i="1"/>
  <c r="D56" i="1"/>
  <c r="F45" i="1"/>
  <c r="B35" i="1"/>
  <c r="M27" i="1"/>
  <c r="B23" i="1"/>
  <c r="F17" i="1"/>
  <c r="M141" i="1"/>
  <c r="C97" i="1"/>
  <c r="E78" i="1"/>
  <c r="C57" i="1"/>
  <c r="E34" i="1"/>
  <c r="S138" i="1"/>
  <c r="F87" i="1"/>
  <c r="F59" i="1"/>
  <c r="M29" i="1"/>
  <c r="D66" i="1"/>
  <c r="F31" i="1"/>
  <c r="B15" i="1"/>
  <c r="N19" i="6"/>
  <c r="B14" i="6"/>
  <c r="D4" i="6"/>
  <c r="B19" i="6"/>
  <c r="M8" i="6"/>
  <c r="E23" i="6"/>
  <c r="H9" i="6"/>
  <c r="S111" i="1"/>
  <c r="L99" i="1"/>
  <c r="B8" i="6"/>
  <c r="O128" i="1"/>
  <c r="O101" i="1"/>
  <c r="D9" i="6"/>
  <c r="M101" i="1"/>
  <c r="E95" i="1"/>
  <c r="G84" i="1"/>
  <c r="C74" i="1"/>
  <c r="E63" i="1"/>
  <c r="G52" i="1"/>
  <c r="C42" i="1"/>
  <c r="E31" i="1"/>
  <c r="C26" i="1"/>
  <c r="R20" i="1"/>
  <c r="L15" i="1"/>
  <c r="C7" i="6"/>
  <c r="N99" i="1"/>
  <c r="D93" i="1"/>
  <c r="F82" i="1"/>
  <c r="B72" i="1"/>
  <c r="D61" i="1"/>
  <c r="F50" i="1"/>
  <c r="B40" i="1"/>
  <c r="F34" i="1"/>
  <c r="O29" i="1"/>
  <c r="J27" i="1"/>
  <c r="D25" i="1"/>
  <c r="F22" i="1"/>
  <c r="B20" i="1"/>
  <c r="D17" i="1"/>
  <c r="B14" i="1"/>
  <c r="M7" i="6"/>
  <c r="D112" i="1"/>
  <c r="P96" i="1"/>
  <c r="C87" i="1"/>
  <c r="E76" i="1"/>
  <c r="G65" i="1"/>
  <c r="C55" i="1"/>
  <c r="E44" i="1"/>
  <c r="G33" i="1"/>
  <c r="C27" i="1"/>
  <c r="R21" i="1"/>
  <c r="P16" i="1"/>
  <c r="G91" i="1"/>
  <c r="G71" i="1"/>
  <c r="G55" i="1"/>
  <c r="C41" i="1"/>
  <c r="R27" i="1"/>
  <c r="R23" i="1"/>
  <c r="R19" i="1"/>
  <c r="E16" i="1"/>
  <c r="E18" i="6"/>
  <c r="D98" i="1"/>
  <c r="D86" i="1"/>
  <c r="B69" i="1"/>
  <c r="B45" i="1"/>
  <c r="J28" i="1"/>
  <c r="Q19" i="1"/>
  <c r="M135" i="1"/>
  <c r="E102" i="1"/>
  <c r="J98" i="1"/>
  <c r="D96" i="1"/>
  <c r="B91" i="1"/>
  <c r="F85" i="1"/>
  <c r="D80" i="1"/>
  <c r="B75" i="1"/>
  <c r="F69" i="1"/>
  <c r="D64" i="1"/>
  <c r="B59" i="1"/>
  <c r="F53" i="1"/>
  <c r="D48" i="1"/>
  <c r="B43" i="1"/>
  <c r="F37" i="1"/>
  <c r="D32" i="1"/>
  <c r="O28" i="1"/>
  <c r="J26" i="1"/>
  <c r="D24" i="1"/>
  <c r="F21" i="1"/>
  <c r="B19" i="1"/>
  <c r="Q15" i="1"/>
  <c r="E4" i="1"/>
  <c r="S110" i="1"/>
  <c r="E98" i="1"/>
  <c r="G95" i="1"/>
  <c r="G83" i="1"/>
  <c r="C73" i="1"/>
  <c r="G63" i="1"/>
  <c r="E50" i="1"/>
  <c r="G39" i="1"/>
  <c r="E30" i="1"/>
  <c r="P26" i="1"/>
  <c r="L100" i="1"/>
  <c r="B93" i="1"/>
  <c r="D82" i="1"/>
  <c r="F67" i="1"/>
  <c r="B53" i="1"/>
  <c r="F35" i="1"/>
  <c r="D26" i="1"/>
  <c r="D18" i="1"/>
  <c r="D74" i="1"/>
  <c r="D58" i="1"/>
  <c r="D42" i="1"/>
  <c r="Q27" i="1"/>
  <c r="F19" i="1"/>
  <c r="G19" i="6"/>
  <c r="M9" i="6"/>
  <c r="F3" i="6"/>
  <c r="N18" i="6"/>
  <c r="G8" i="6"/>
  <c r="A23" i="6"/>
  <c r="E8" i="6"/>
  <c r="D111" i="1"/>
  <c r="E99" i="1"/>
  <c r="G7" i="6"/>
  <c r="S127" i="1"/>
  <c r="J101" i="1"/>
  <c r="F8" i="6"/>
  <c r="B101" i="1"/>
  <c r="G94" i="1"/>
  <c r="C84" i="1"/>
  <c r="E73" i="1"/>
  <c r="G62" i="1"/>
  <c r="C52" i="1"/>
  <c r="E41" i="1"/>
  <c r="G30" i="1"/>
  <c r="P25" i="1"/>
  <c r="N20" i="1"/>
  <c r="E15" i="1"/>
  <c r="C6" i="6"/>
  <c r="D99" i="1"/>
  <c r="F92" i="1"/>
  <c r="B82" i="1"/>
  <c r="D71" i="1"/>
  <c r="F60" i="1"/>
  <c r="B50" i="1"/>
  <c r="D39" i="1"/>
  <c r="B34" i="1"/>
  <c r="J29" i="1"/>
  <c r="D27" i="1"/>
  <c r="Q24" i="1"/>
  <c r="B22" i="1"/>
  <c r="O19" i="1"/>
  <c r="Q16" i="1"/>
  <c r="B10" i="1"/>
  <c r="M6" i="6"/>
  <c r="J103" i="1"/>
  <c r="G85" i="1"/>
  <c r="C75" i="1"/>
  <c r="E64" i="1"/>
  <c r="C43" i="1"/>
  <c r="L26" i="1"/>
  <c r="R15" i="1"/>
  <c r="G67" i="1"/>
  <c r="E38" i="1"/>
  <c r="E22" i="1"/>
  <c r="N15" i="1"/>
  <c r="B97" i="1"/>
  <c r="B61" i="1"/>
  <c r="O26" i="1"/>
  <c r="O130" i="1"/>
  <c r="Q97" i="1"/>
  <c r="D84" i="1"/>
  <c r="F73" i="1"/>
  <c r="B63" i="1"/>
  <c r="F57" i="1"/>
  <c r="B47" i="1"/>
  <c r="B31" i="1"/>
  <c r="Q25" i="1"/>
  <c r="O20" i="1"/>
  <c r="F15" i="1"/>
  <c r="Q101" i="1"/>
  <c r="C93" i="1"/>
  <c r="E70" i="1"/>
  <c r="E46" i="1"/>
  <c r="C29" i="1"/>
  <c r="O98" i="1"/>
  <c r="D78" i="1"/>
  <c r="B49" i="1"/>
  <c r="J24" i="1"/>
  <c r="D70" i="1"/>
  <c r="B37" i="1"/>
  <c r="B17" i="1"/>
  <c r="O22" i="6"/>
  <c r="A7" i="6"/>
  <c r="F5" i="6"/>
  <c r="M138" i="1"/>
  <c r="A18" i="6"/>
  <c r="F112" i="1"/>
  <c r="S136" i="1"/>
  <c r="C90" i="1"/>
  <c r="G68" i="1"/>
  <c r="E47" i="1"/>
  <c r="G28" i="1"/>
  <c r="C18" i="1"/>
  <c r="O127" i="1"/>
  <c r="D77" i="1"/>
  <c r="F66" i="1"/>
  <c r="D45" i="1"/>
  <c r="B32" i="1"/>
  <c r="F26" i="1"/>
  <c r="D21" i="1"/>
  <c r="O15" i="1"/>
  <c r="M137" i="1"/>
  <c r="E92" i="1"/>
  <c r="C71" i="1"/>
  <c r="G49" i="1"/>
  <c r="C39" i="1"/>
  <c r="P24" i="1"/>
  <c r="F9" i="1"/>
  <c r="G59" i="1"/>
  <c r="G35" i="1"/>
  <c r="E18" i="1"/>
  <c r="S112" i="1"/>
  <c r="B77" i="1"/>
  <c r="B57" i="1"/>
  <c r="B7" i="1"/>
  <c r="R99" i="1"/>
  <c r="F93" i="1"/>
  <c r="B83" i="1"/>
  <c r="D72" i="1"/>
  <c r="F61" i="1"/>
  <c r="B51" i="1"/>
  <c r="D40" i="1"/>
  <c r="Q29" i="1"/>
  <c r="F25" i="1"/>
  <c r="D20" i="1"/>
  <c r="D14" i="1"/>
  <c r="O100" i="1"/>
  <c r="E90" i="1"/>
  <c r="C69" i="1"/>
  <c r="G43" i="1"/>
  <c r="L28" i="1"/>
  <c r="M97" i="1"/>
  <c r="F75" i="1"/>
  <c r="F43" i="1"/>
  <c r="D22" i="1"/>
  <c r="F91" i="1"/>
  <c r="D50" i="1"/>
  <c r="F23" i="1"/>
  <c r="H128" i="1" l="1"/>
  <c r="L22" i="1"/>
  <c r="H110" i="1"/>
  <c r="B124" i="1"/>
  <c r="B131" i="1"/>
  <c r="O22" i="1"/>
  <c r="B117" i="1"/>
  <c r="D120" i="1"/>
  <c r="B125" i="1"/>
  <c r="J22" i="1"/>
  <c r="H112" i="1"/>
  <c r="D122" i="1"/>
  <c r="P22" i="1"/>
  <c r="B118" i="1"/>
  <c r="D121" i="1"/>
  <c r="B127" i="1"/>
  <c r="M22" i="1"/>
  <c r="Q22" i="1"/>
  <c r="D117" i="1"/>
  <c r="H120" i="1"/>
  <c r="H122" i="1"/>
  <c r="D125" i="1"/>
  <c r="B129" i="1"/>
  <c r="N22" i="1"/>
  <c r="R22" i="1"/>
  <c r="B110" i="1"/>
  <c r="H119" i="1"/>
  <c r="B121" i="1"/>
  <c r="H123" i="1"/>
  <c r="H126" i="1"/>
  <c r="H130" i="1"/>
  <c r="P2" i="6"/>
  <c r="B109" i="1"/>
  <c r="B111" i="1"/>
  <c r="B112" i="1"/>
  <c r="H117" i="1"/>
  <c r="D118" i="1"/>
  <c r="B119" i="1"/>
  <c r="H121" i="1"/>
  <c r="B123" i="1"/>
  <c r="D124" i="1"/>
  <c r="H125" i="1"/>
  <c r="H127" i="1"/>
  <c r="H129" i="1"/>
  <c r="H131" i="1"/>
  <c r="H109" i="1"/>
  <c r="H111" i="1"/>
  <c r="H118" i="1"/>
  <c r="D119" i="1"/>
  <c r="B120" i="1"/>
  <c r="B122" i="1"/>
  <c r="D123" i="1"/>
  <c r="H124" i="1"/>
  <c r="B126" i="1"/>
  <c r="B128" i="1"/>
  <c r="B130" i="1"/>
  <c r="J4" i="6"/>
  <c r="P29" i="6" l="1"/>
  <c r="P25" i="6"/>
  <c r="P21" i="6"/>
  <c r="P17" i="6"/>
  <c r="P11" i="6"/>
  <c r="P7" i="6"/>
  <c r="P3" i="6"/>
  <c r="P28" i="6"/>
  <c r="P24" i="6"/>
  <c r="P20" i="6"/>
  <c r="P16" i="6"/>
  <c r="P10" i="6"/>
  <c r="P6" i="6"/>
  <c r="P27" i="6"/>
  <c r="P23" i="6"/>
  <c r="P26" i="6"/>
  <c r="P22" i="6"/>
  <c r="P19" i="6"/>
  <c r="P9" i="6"/>
  <c r="P8" i="6"/>
  <c r="P5" i="6"/>
  <c r="P4" i="6"/>
  <c r="P14" i="6"/>
  <c r="P13" i="6"/>
  <c r="P18" i="6"/>
  <c r="P12" i="6"/>
  <c r="P15" i="6"/>
  <c r="J7" i="6"/>
  <c r="J22" i="6"/>
  <c r="J23" i="6"/>
  <c r="J17" i="6"/>
  <c r="J15" i="6"/>
  <c r="J6" i="6"/>
  <c r="J8" i="6"/>
  <c r="J19" i="6"/>
  <c r="J20" i="6"/>
  <c r="J21" i="6"/>
  <c r="J5" i="6"/>
  <c r="J18" i="6"/>
  <c r="J9" i="6"/>
  <c r="J16" i="6"/>
</calcChain>
</file>

<file path=xl/sharedStrings.xml><?xml version="1.0" encoding="utf-8"?>
<sst xmlns="http://schemas.openxmlformats.org/spreadsheetml/2006/main" count="639" uniqueCount="275">
  <si>
    <t>d19041502.IB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</si>
  <si>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</si>
  <si>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</si>
  <si>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</si>
  <si>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</si>
  <si>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</si>
  <si>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</si>
  <si>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</si>
  <si>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</si>
  <si>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</si>
  <si>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</si>
  <si>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</si>
  <si>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</si>
  <si>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</si>
  <si>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</si>
  <si>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</si>
  <si>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</si>
  <si>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</si>
  <si>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</si>
  <si>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</si>
  <si>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</si>
  <si>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</si>
  <si>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</si>
  <si>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1382069.IB</t>
  </si>
  <si>
    <t>主体级别</t>
  </si>
  <si>
    <t>AA+</t>
  </si>
  <si>
    <t>1282522.IB</t>
  </si>
  <si>
    <t>*选择性黏贴</t>
  </si>
  <si>
    <t>1480383.IB</t>
  </si>
  <si>
    <t>数据年度</t>
  </si>
  <si>
    <t>2017年</t>
  </si>
  <si>
    <t>1282025.IB</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</si>
  <si>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</si>
  <si>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</si>
  <si>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</si>
  <si>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</si>
  <si>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</si>
  <si>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</si>
  <si>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</si>
  <si>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</si>
  <si>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</si>
  <si>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</si>
  <si>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</si>
  <si>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</si>
  <si>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</si>
  <si>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</si>
  <si>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</si>
  <si>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</si>
  <si>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</si>
  <si>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</si>
  <si>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</si>
  <si>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</si>
  <si>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</si>
  <si>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</si>
  <si>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</si>
  <si>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</si>
  <si>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</si>
  <si>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</si>
  <si>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</si>
  <si>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</si>
  <si>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</si>
  <si>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</si>
  <si>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</si>
  <si>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</si>
  <si>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</si>
  <si>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</si>
  <si>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</si>
  <si>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</si>
  <si>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</si>
  <si>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</si>
  <si>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</si>
  <si>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</si>
  <si>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</si>
  <si>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</si>
  <si>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</si>
  <si>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</si>
  <si>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</si>
  <si>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</si>
  <si>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</si>
  <si>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</si>
  <si>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</si>
  <si>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</si>
  <si>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</si>
  <si>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</si>
  <si>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</si>
  <si>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</si>
  <si>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</si>
  <si>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</si>
  <si>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</si>
  <si>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</si>
  <si>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</si>
  <si>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</si>
  <si>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</si>
  <si>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</si>
  <si>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</si>
  <si>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</si>
  <si>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</si>
  <si>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</si>
  <si>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</si>
  <si>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</si>
  <si>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</si>
  <si>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</si>
  <si>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</si>
  <si>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</si>
  <si>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</si>
  <si>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</si>
  <si>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</si>
  <si>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</si>
  <si>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</si>
  <si>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</si>
  <si>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</si>
  <si>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</si>
  <si>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</si>
  <si>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</si>
  <si>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</si>
  <si>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</si>
  <si>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</si>
  <si>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</si>
  <si>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151238.SH</t>
  </si>
  <si>
    <t>20190306</t>
  </si>
  <si>
    <t>19鄂旅01</t>
  </si>
  <si>
    <t>151020.SH</t>
  </si>
  <si>
    <t>20181228</t>
  </si>
  <si>
    <t>S18鄂旅2</t>
  </si>
  <si>
    <t>150737.SH</t>
  </si>
  <si>
    <t>20180928</t>
  </si>
  <si>
    <t>18鄂旅01</t>
  </si>
  <si>
    <t>131800007.IB</t>
  </si>
  <si>
    <t>20180326</t>
  </si>
  <si>
    <t>18鄂西圈GN001</t>
  </si>
  <si>
    <t>041760062.IB</t>
  </si>
  <si>
    <t>20171129</t>
  </si>
  <si>
    <t>17鄂西圈CP001</t>
  </si>
  <si>
    <t>101756016.IB</t>
  </si>
  <si>
    <t>20170427</t>
  </si>
  <si>
    <t>17鄂西圈MTN001</t>
  </si>
  <si>
    <t>031668011.IB</t>
  </si>
  <si>
    <t>20161108</t>
  </si>
  <si>
    <t>16鄂西圈PPN001</t>
  </si>
  <si>
    <t>101656025.IB</t>
  </si>
  <si>
    <t>20160712</t>
  </si>
  <si>
    <t>16鄂西圈MTN002</t>
  </si>
  <si>
    <t>1680256.IB</t>
  </si>
  <si>
    <t>20160615</t>
  </si>
  <si>
    <t>16鄂旅投债</t>
  </si>
  <si>
    <t>139144.SH</t>
  </si>
  <si>
    <t>16鄂旅投</t>
  </si>
  <si>
    <t>101662043.IB</t>
  </si>
  <si>
    <t>20160504</t>
  </si>
  <si>
    <t>16鄂西圈MTN001</t>
  </si>
  <si>
    <t>041660005.IB</t>
  </si>
  <si>
    <t>20160120</t>
  </si>
  <si>
    <t>16鄂西圈CP001</t>
  </si>
  <si>
    <t>041560088.IB</t>
  </si>
  <si>
    <t>20150925</t>
  </si>
  <si>
    <t>15鄂西圈CP002</t>
  </si>
  <si>
    <t>041560028.IB</t>
  </si>
  <si>
    <t>20150402</t>
  </si>
  <si>
    <t>15鄂西圈CP001</t>
  </si>
  <si>
    <t>031491092.IB</t>
  </si>
  <si>
    <t>20141203</t>
  </si>
  <si>
    <t>14鄂西圈PPN001</t>
  </si>
  <si>
    <t>041460105.IB</t>
  </si>
  <si>
    <t>20141022</t>
  </si>
  <si>
    <t>14鄂西圈CP002</t>
  </si>
  <si>
    <t>101462015.IB</t>
  </si>
  <si>
    <t>20140616</t>
  </si>
  <si>
    <t>14鄂西圈MTN001</t>
  </si>
  <si>
    <t>041460008.IB</t>
  </si>
  <si>
    <t>20140304</t>
  </si>
  <si>
    <t>14鄂西圈CP001</t>
  </si>
  <si>
    <t>124042.SH</t>
  </si>
  <si>
    <t>20121029</t>
  </si>
  <si>
    <t>12鄂旅投</t>
  </si>
  <si>
    <t>1280366.IB</t>
  </si>
  <si>
    <t>12鄂西圈投债</t>
  </si>
  <si>
    <t>历史主体评级</t>
  </si>
  <si>
    <t>发布日期</t>
  </si>
  <si>
    <t>主体资信级别</t>
  </si>
  <si>
    <t>评级展望</t>
  </si>
  <si>
    <t>评级机构</t>
  </si>
  <si>
    <t>稳定</t>
  </si>
  <si>
    <t>中诚信国际信用评级有限责任公司</t>
  </si>
  <si>
    <t>中诚信证券评估有限公司</t>
  </si>
  <si>
    <t>20180810</t>
  </si>
  <si>
    <t>20180626</t>
  </si>
  <si>
    <t>20180529</t>
  </si>
  <si>
    <t>20170927</t>
  </si>
  <si>
    <t>20170824</t>
  </si>
  <si>
    <t>20170626</t>
  </si>
  <si>
    <t>20170401</t>
  </si>
  <si>
    <t>20160629</t>
  </si>
  <si>
    <t>20160503</t>
  </si>
  <si>
    <t>20160330</t>
  </si>
  <si>
    <t>20151208</t>
  </si>
  <si>
    <t>20151124</t>
  </si>
  <si>
    <t>20150810</t>
  </si>
  <si>
    <t>AA</t>
  </si>
  <si>
    <t>20150626</t>
  </si>
  <si>
    <t>20150211</t>
  </si>
  <si>
    <t>20150122</t>
  </si>
  <si>
    <t>20141024</t>
  </si>
  <si>
    <t>20141011</t>
  </si>
  <si>
    <t>20140623</t>
  </si>
  <si>
    <t>20140228</t>
  </si>
  <si>
    <t>20140207</t>
  </si>
  <si>
    <t>20130628</t>
  </si>
  <si>
    <t>20130517</t>
  </si>
  <si>
    <t>20120305</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</si>
  <si>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</si>
  <si>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</si>
  <si>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</si>
  <si>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</si>
  <si>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</si>
  <si>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</si>
  <si>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</si>
  <si>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</si>
  <si>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</si>
  <si>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</si>
  <si>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浙江省旅游集团有限责任公司</t>
  </si>
  <si>
    <t>AA稳定上调至AA+稳定</t>
  </si>
  <si>
    <t>上海新世纪资信评估投资服务有限公司</t>
  </si>
  <si>
    <t>云南世博旅游控股集团有限公司</t>
  </si>
  <si>
    <t>东方金诚国际信用评估有限公司</t>
  </si>
  <si>
    <t>云南省旅游资源丰富，近年来经济保持较快增长，为公司旅游景区经营及相关业务的开展和长远发展创造了较好的区域经济环境；公司拥有较多优质旅游资源，收购宜良县九乡风景名胜区旅游开发有限公司股权，景区运营业务收入及毛利率均有所增长；公司的交通运输业务受出租车经营权摊销成本降低及云旅汽车业务收入上升影响，业务获利能力较为稳定；跟踪期内，云南世博实际控制人变更为华侨城集团，资本实力大幅增强，债务负担显著降低，盈利能力和抗风险能力明显提高，依托于华侨城集团的资金、管理及专业优势，将有助于云南世博综合实力的提升。</t>
  </si>
  <si>
    <t>云南旅游股份有限公司</t>
  </si>
  <si>
    <t>受世博园门票收入增长及接待的游客结构调整影响，景区运营业务收入和毛利润规模同比有所上升；2017 年公司房地产开发业务合同销售金额及销售面积同比有所增长，受益于鸣凤邻里项目销售结转，房地产开发业务收入及利润同比均大幅上升，未来可售面积较为充足；跟踪期内，公司实际控制人变更为华侨城集团，依托华侨城集团的资金、管理及专业优势，将有助于公司盈利能力和抗风险能力的增强；公司控股股东云南世博综合财务实力很强，为本期债券的按期还本付息提供连带责任保证担保，增信作用明显。</t>
  </si>
  <si>
    <t>近一年来同行业发债企业主体评级下调情况</t>
  </si>
  <si>
    <t>主体资信级别下调</t>
  </si>
  <si>
    <t>主体评级展望下调</t>
  </si>
  <si>
    <t>海航酒店控股集团有限公司</t>
  </si>
  <si>
    <t>AA-稳定下调至A+负面</t>
  </si>
  <si>
    <t>中证鹏元资信评估股份有限公司</t>
  </si>
  <si>
    <t xml:space="preserve">截至2018 年7 月6 日，公司未结清贷款存在欠息156.83 万元，同时公司存在30095万元关注类保证担保。公司己对外出售RHAB 流通股及
投票权和丽笙控股100%股权，未来国外酒店业务收入将大幅下滑。公司部分资产己抵质押，关联方对资金占用仍较多，需关注未来回收时间；期间费用率高，利润主要来自非经营性收益，未来需关注其持续性；有息债务规模大幅增长，面临较大的刚性债务压力；公司对海航集团内部关联方担保规模大，面临较大的或有负债风险； 中证鹏元未取得担保方海航商业主体长期信用跟踪评级所需的资料， 无法判断其信用级别及其对本期债券的增信效果。
</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</si>
  <si>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</si>
  <si>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</si>
  <si>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</si>
  <si>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</si>
  <si>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</si>
  <si>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</si>
  <si>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</si>
  <si>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</si>
  <si>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</si>
  <si>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</si>
  <si>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</si>
  <si>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</si>
  <si>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</si>
  <si>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</si>
  <si>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</si>
  <si>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</si>
  <si>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</si>
  <si>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</si>
  <si>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</si>
  <si>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</si>
  <si>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</si>
  <si>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</si>
  <si>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</si>
  <si>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</si>
  <si>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</si>
  <si>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湖北省文化旅游投资集团有限公司</t>
  </si>
  <si>
    <t>地方国有企业</t>
  </si>
  <si>
    <t>可选消费--消费者服务Ⅱ--酒店、餐馆与休闲Ⅲ--酒店、度假村与豪华游轮</t>
  </si>
  <si>
    <t>湖北省武汉市武昌区中北路86号汉街总部国际E座</t>
  </si>
  <si>
    <t>公司拥有的旅游区全部位于湖北省鄂西生态文化旅游圈，核心景区位于恩施州及神农架，为鄂西生态文化旅游圈的重要组成部分。公司旗下的景区、旅行社和酒店拥有较高的知名度和美誉度，具有一定的品牌优势。旅行社业务，“湖北中旅”品牌在湖北省内业中有较强的影响力，2010年湖北中旅荣获中国百强旅行社第15名，2011年被评为5A级旅行社，是湖北省内广大游客普遍认知的诚信品牌旅行社之一；湖北国旅为中国旅游协会会员、中国旅行社协会常务理事单位和国际航协成员，荣获2008年、2009年武汉市文明旅行社称号，2011年被评为4A级旅行社。除此之外，公司旗下还拥有多家旅行社，包括湖北友好旅行社、荆门漳河旅行社、湖北中旅商务国际旅行社、湖北中旅假日旅行社、湖北襄樊假日旅行社和五峰柴埠溪旅行社。酒店业务，公司旗下洪山宾馆、湖北饭店和丽江饭店均位于武汉中南商圈，毗邻湖北省省委、省政府，坐拥武昌地区政治、文化和商业的城市中心，地理位置优越，其中洪山宾馆曾多次接待党和国家领导人及外国元首，并成功接待多次国际及国内重大会议，是湖北省政务及商务活动首选。</t>
  </si>
  <si>
    <t>湖北省人民政府国有资产监督管理委员会</t>
  </si>
  <si>
    <t>湖北清能投资发展集团有限公司</t>
  </si>
  <si>
    <t>中国建筑第三工程局有限公司</t>
  </si>
  <si>
    <t>三峡基地发展有限公司</t>
  </si>
  <si>
    <t>宜昌市城市建设投资开发有限公司</t>
  </si>
  <si>
    <t>A-1</t>
  </si>
  <si>
    <t>西安曲江文化产业投资(集团)有限公司</t>
  </si>
  <si>
    <t>成都文化旅游发展集团有限责任公司</t>
  </si>
  <si>
    <t>扬州瘦西湖旅游发展集团有限公司</t>
  </si>
  <si>
    <t/>
  </si>
  <si>
    <t>中央国有企业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</si>
</sst>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2" fillId="4" borderId="10" xfId="0" applyFont="1" applyFill="1" applyBorder="1" applyAlignment="1">
      <alignment horizontal="left" vertical="center" wrapText="1"/>
    </xf>
    <xf numFmtId="0" fontId="0" fillId="0" borderId="0" xfId="0" applyAlignment="1"/>
    <xf numFmtId="0" fontId="2" fillId="0" borderId="2" xfId="0" applyFont="1" applyBorder="1" applyAlignment="1">
      <alignment horizontal="left" vertical="center" wrapText="1"/>
    </xf>
    <xf numFmtId="0" fontId="4" fillId="2" borderId="6" xfId="0" applyFont="1" applyFill="1" applyBorder="1" applyAlignment="1">
      <alignment horizontal="right" vertical="center" wrapText="1"/>
    </xf>
    <xf numFmtId="0" fontId="0" fillId="0" borderId="0" xfId="0" applyAlignment="1">
      <alignment vertical="center"/>
    </xf>
    <xf numFmtId="0" fontId="2" fillId="2" borderId="6" xfId="0"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177" fontId="4"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1" fillId="0" borderId="7" xfId="0" applyFont="1" applyBorder="1" applyAlignment="1">
      <alignment horizontal="center" vertical="center" wrapText="1"/>
    </xf>
    <xf numFmtId="0" fontId="7" fillId="0" borderId="0" xfId="0" applyFont="1" applyAlignment="1">
      <alignment vertical="center"/>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7" fillId="3" borderId="12" xfId="0" applyFont="1" applyFill="1" applyBorder="1" applyAlignment="1">
      <alignment horizontal="center" vertical="center"/>
    </xf>
    <xf numFmtId="0" fontId="0" fillId="0" borderId="12" xfId="0" applyBorder="1" applyAlignment="1"/>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0" fontId="7" fillId="2" borderId="12" xfId="0" applyFont="1" applyFill="1" applyBorder="1" applyAlignment="1">
      <alignment vertical="center" wrapText="1"/>
    </xf>
    <xf numFmtId="0" fontId="14" fillId="0" borderId="8" xfId="0" applyFont="1" applyBorder="1" applyAlignment="1">
      <alignment horizontal="center" vertical="center" wrapText="1"/>
    </xf>
    <xf numFmtId="0" fontId="4" fillId="2" borderId="12" xfId="0" applyFont="1" applyFill="1" applyBorder="1" applyAlignment="1">
      <alignment horizontal="left" vertical="center" wrapText="1"/>
    </xf>
    <xf numFmtId="0" fontId="24" fillId="0" borderId="12" xfId="0" applyFont="1" applyBorder="1" applyAlignment="1">
      <alignment horizontal="center" vertical="center"/>
    </xf>
    <xf numFmtId="0" fontId="2" fillId="0" borderId="1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14" fillId="0" borderId="2" xfId="0" applyFont="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12" xfId="0" applyFont="1" applyBorder="1" applyAlignment="1">
      <alignment horizontal="center" vertical="center" wrapText="1"/>
    </xf>
    <xf numFmtId="181" fontId="2" fillId="2" borderId="12" xfId="0" applyNumberFormat="1" applyFont="1" applyFill="1" applyBorder="1" applyAlignment="1">
      <alignment horizontal="center" vertical="center" wrapText="1"/>
    </xf>
    <xf numFmtId="182" fontId="2" fillId="2" borderId="12" xfId="0" applyNumberFormat="1"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37" t="s">
        <v>1</v>
      </c>
      <c r="B3" s="128"/>
      <c r="C3" s="128"/>
      <c r="D3" s="128"/>
      <c r="E3" s="128"/>
      <c r="F3" s="128"/>
      <c r="G3" s="128"/>
    </row>
    <row r="4" spans="1:20" s="17" customFormat="1" ht="13.5" customHeight="1" x14ac:dyDescent="0.25">
      <c r="A4" s="57" t="s">
        <v>2</v>
      </c>
      <c r="B4" s="138" t="str">
        <f>[1]!b_info_issuerupdated(A2)</f>
        <v>湖北省文化旅游投资集团有限公司</v>
      </c>
      <c r="C4" s="133"/>
      <c r="D4" s="57" t="s">
        <v>3</v>
      </c>
      <c r="E4" s="138" t="str">
        <f>[1]!s_info_nature(A2)</f>
        <v>地方国有企业</v>
      </c>
      <c r="F4" s="133"/>
      <c r="G4" s="133"/>
      <c r="H4" s="19"/>
    </row>
    <row r="5" spans="1:20" s="17" customFormat="1" ht="14.25" customHeight="1" x14ac:dyDescent="0.25">
      <c r="A5" s="57" t="s">
        <v>4</v>
      </c>
      <c r="B5" s="138" t="str">
        <f>[1]!b_issuer_windindustry(A2,9)</f>
        <v>可选消费--消费者服务Ⅱ--酒店、餐馆与休闲Ⅲ--酒店、度假村与豪华游轮</v>
      </c>
      <c r="C5" s="133"/>
      <c r="D5" s="57" t="s">
        <v>5</v>
      </c>
      <c r="E5" s="138" t="str">
        <f>[1]!b_issuer_regaddress(A2)</f>
        <v>湖北省武汉市武昌区中北路86号汉街总部国际E座</v>
      </c>
      <c r="F5" s="133"/>
      <c r="G5" s="133"/>
    </row>
    <row r="6" spans="1:20" s="17" customFormat="1" ht="81" customHeight="1" x14ac:dyDescent="0.25">
      <c r="A6" s="57" t="s">
        <v>6</v>
      </c>
      <c r="B6" s="136" t="str">
        <f>[1]!s_info_briefing(A2)</f>
        <v>公司拥有的旅游区全部位于湖北省鄂西生态文化旅游圈，核心景区位于恩施州及神农架，为鄂西生态文化旅游圈的重要组成部分。公司旗下的景区、旅行社和酒店拥有较高的知名度和美誉度，具有一定的品牌优势。旅行社业务，“湖北中旅”品牌在湖北省内业中有较强的影响力，2010年湖北中旅荣获中国百强旅行社第15名，2011年被评为5A级旅行社，是湖北省内广大游客普遍认知的诚信品牌旅行社之一；湖北国旅为中国旅游协会会员、中国旅行社协会常务理事单位和国际航协成员，荣获2008年、2009年武汉市文明旅行社称号，2011年被评为4A级旅行社。除此之外，公司旗下还拥有多家旅行社，包括湖北友好旅行社、荆门漳河旅行社、湖北中旅商务国际旅行社、湖北中旅假日旅行社、湖北襄樊假日旅行社和五峰柴埠溪旅行社。酒店业务，公司旗下洪山宾馆、湖北饭店和丽江饭店均位于武汉中南商圈，毗邻湖北省省委、省政府，坐拥武昌地区政治、文化和商业的城市中心，地理位置优越，其中洪山宾馆曾多次接待党和国家领导人及外国元首，并成功接待多次国际及国内重大会议，是湖北省政务及商务活动首选。</v>
      </c>
      <c r="C6" s="133"/>
      <c r="D6" s="133"/>
      <c r="E6" s="133"/>
      <c r="F6" s="133"/>
      <c r="G6" s="133"/>
    </row>
    <row r="7" spans="1:20" s="17" customFormat="1" x14ac:dyDescent="0.25">
      <c r="A7" s="59" t="s">
        <v>7</v>
      </c>
      <c r="B7" s="132" t="str">
        <f>[1]!b_issuer_shareholder(A2,"",1)</f>
        <v>湖北省人民政府国有资产监督管理委员会</v>
      </c>
      <c r="C7" s="133"/>
      <c r="D7" s="133"/>
      <c r="E7" s="133"/>
      <c r="F7" s="61">
        <f>[1]!b_issuer_propofshareholder($A$2,"",1)%</f>
        <v>0.80319999694824218</v>
      </c>
      <c r="G7" s="60"/>
      <c r="H7" s="20" t="s">
        <v>8</v>
      </c>
      <c r="M7" s="24">
        <v>42004</v>
      </c>
      <c r="N7" s="24">
        <v>42369</v>
      </c>
      <c r="O7" s="24">
        <v>41639</v>
      </c>
      <c r="P7" s="62" t="s">
        <v>9</v>
      </c>
      <c r="Q7" s="62" t="s">
        <v>10</v>
      </c>
      <c r="R7" s="62" t="s">
        <v>11</v>
      </c>
    </row>
    <row r="8" spans="1:20" s="17" customFormat="1" x14ac:dyDescent="0.25">
      <c r="A8" s="59"/>
      <c r="B8" s="132" t="str">
        <f>[1]!b_issuer_shareholder(A2,"",2)</f>
        <v>湖北清能投资发展集团有限公司</v>
      </c>
      <c r="C8" s="133"/>
      <c r="D8" s="133"/>
      <c r="E8" s="133"/>
      <c r="F8" s="61">
        <f>[1]!b_issuer_propofshareholder($A$2,"",2)%</f>
        <v>5.4699997901916507E-2</v>
      </c>
      <c r="G8" s="60"/>
      <c r="H8" s="20"/>
      <c r="M8" s="25"/>
      <c r="O8" s="25"/>
      <c r="P8" s="63"/>
    </row>
    <row r="9" spans="1:20" s="17" customFormat="1" x14ac:dyDescent="0.25">
      <c r="A9" s="59"/>
      <c r="B9" s="132" t="str">
        <f>[1]!b_issuer_shareholder(A2,"",3)</f>
        <v>中国建筑第三工程局有限公司</v>
      </c>
      <c r="C9" s="133"/>
      <c r="D9" s="133"/>
      <c r="E9" s="133"/>
      <c r="F9" s="61">
        <f>[1]!b_issuer_propofshareholder($A$2,"",3)%</f>
        <v>2.7300000190734863E-2</v>
      </c>
      <c r="G9" s="60"/>
      <c r="H9" s="20"/>
      <c r="M9" s="25"/>
      <c r="O9" s="25"/>
      <c r="P9" s="63"/>
    </row>
    <row r="10" spans="1:20" s="17" customFormat="1" x14ac:dyDescent="0.25">
      <c r="A10" s="59"/>
      <c r="B10" s="132" t="str">
        <f>[1]!b_issuer_shareholder(A2,"",4)</f>
        <v>三峡基地发展有限公司</v>
      </c>
      <c r="C10" s="133"/>
      <c r="D10" s="133"/>
      <c r="E10" s="133"/>
      <c r="F10" s="61">
        <f>[1]!b_issuer_propofshareholder($A$2,"",4)%</f>
        <v>2.7300000190734863E-2</v>
      </c>
      <c r="G10" s="60"/>
      <c r="H10" s="20"/>
      <c r="M10" s="25"/>
      <c r="O10" s="25"/>
      <c r="P10" s="63"/>
    </row>
    <row r="11" spans="1:20" s="17" customFormat="1" x14ac:dyDescent="0.25">
      <c r="A11" s="59"/>
      <c r="B11" s="132" t="str">
        <f>[1]!b_issuer_shareholder(A2,"",5)</f>
        <v>宜昌市城市建设投资开发有限公司</v>
      </c>
      <c r="C11" s="133"/>
      <c r="D11" s="133"/>
      <c r="E11" s="133"/>
      <c r="F11" s="61">
        <f>[1]!b_issuer_propofshareholder($A$2,"",5)%</f>
        <v>1.3700000047683715E-2</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d19041502.IB</v>
      </c>
      <c r="K14" s="26"/>
      <c r="L14" s="27" t="str">
        <f>T15</f>
        <v>1382069.IB</v>
      </c>
      <c r="M14" s="27" t="str">
        <f>T16</f>
        <v>1282522.IB</v>
      </c>
      <c r="N14" s="27" t="str">
        <f>T17</f>
        <v>1480383.IB</v>
      </c>
      <c r="O14" s="27" t="str">
        <f>T18</f>
        <v>1282025.IB</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湖北省文化旅游投资集团有限公司</v>
      </c>
      <c r="K15" s="117"/>
      <c r="L15" s="8" t="str">
        <f>[1]!b_info_issuer(L14)</f>
        <v>西安曲江文化产业投资(集团)有限公司</v>
      </c>
      <c r="M15" s="8" t="str">
        <f>[1]!b_info_issuer(M14)</f>
        <v>成都文化旅游发展集团有限责任公司</v>
      </c>
      <c r="N15" s="8" t="str">
        <f>[1]!b_info_issuer(N14)</f>
        <v>扬州瘦西湖旅游发展集团有限公司</v>
      </c>
      <c r="O15" s="8" t="str">
        <f>[1]!b_info_issuer(O14)</f>
        <v>云南世博旅游控股集团有限公司</v>
      </c>
      <c r="P15" s="8">
        <f>[1]!b_info_issuer(P14)</f>
        <v>0</v>
      </c>
      <c r="Q15" s="8">
        <f>[1]!b_info_issuer(Q14)</f>
        <v>0</v>
      </c>
      <c r="R15" s="8">
        <f>[1]!b_info_issuer(R14)</f>
        <v>0</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v>
      </c>
      <c r="K16" s="118"/>
      <c r="L16" s="66" t="s">
        <v>25</v>
      </c>
      <c r="M16" s="66" t="s">
        <v>25</v>
      </c>
      <c r="N16" s="66" t="s">
        <v>25</v>
      </c>
      <c r="O16" s="66" t="s">
        <v>25</v>
      </c>
      <c r="P16" s="66">
        <f>[1]!b_info_latestissurercreditrating(P14)</f>
        <v>0</v>
      </c>
      <c r="Q16" s="66">
        <f>[1]!b_info_latestissurercreditrating(Q14)</f>
        <v>0</v>
      </c>
      <c r="R16" s="66">
        <f>[1]!b_info_latestissurercreditrating(R14)</f>
        <v>0</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18"/>
      <c r="L17" s="67" t="str">
        <f>[1]!s_info_nature(L14)</f>
        <v>地方国有企业</v>
      </c>
      <c r="M17" s="67" t="str">
        <f>[1]!s_info_nature(M14)</f>
        <v>地方国有企业</v>
      </c>
      <c r="N17" s="67" t="str">
        <f>[1]!s_info_nature(N14)</f>
        <v>地方国有企业</v>
      </c>
      <c r="O17" s="67" t="str">
        <f>[1]!s_info_nature(O14)</f>
        <v>中央国有企业</v>
      </c>
      <c r="P17" s="67">
        <f>[1]!s_info_nature(P14)</f>
        <v>0</v>
      </c>
      <c r="Q17" s="67">
        <f>[1]!s_info_nature(Q14)</f>
        <v>0</v>
      </c>
      <c r="R17" s="67">
        <f>[1]!s_info_nature(R14)</f>
        <v>0</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18"/>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402.74962903929998</v>
      </c>
      <c r="K19" s="118"/>
      <c r="L19" s="68">
        <f>[1]!b_stm07_bs(L14,74,L13,1)/100000000</f>
        <v>458.18347899839995</v>
      </c>
      <c r="M19" s="68">
        <f>[1]!b_stm07_bs(M14,74,M13,1)/100000000</f>
        <v>170.0463440991</v>
      </c>
      <c r="N19" s="68">
        <f>[1]!b_stm07_bs(N14,74,N13,1)/100000000</f>
        <v>226.95914046759998</v>
      </c>
      <c r="O19" s="68">
        <f>[1]!b_stm07_bs(O14,74,O13,1)/100000000</f>
        <v>186.021386767</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33</v>
      </c>
      <c r="J20" s="10">
        <f>[1]!s_fa_debttoassets(J14,J13)/100</f>
        <v>0.64482799999999996</v>
      </c>
      <c r="K20" s="118"/>
      <c r="L20" s="10">
        <f>[1]!s_fa_debttoassets(L14,L13)/100</f>
        <v>0.68708699999999989</v>
      </c>
      <c r="M20" s="10">
        <f>[1]!s_fa_debttoassets(M14,M13)/100</f>
        <v>0.46669699999999997</v>
      </c>
      <c r="N20" s="10">
        <f>[1]!s_fa_debttoassets(N14,N13)/100</f>
        <v>0.51394300000000004</v>
      </c>
      <c r="O20" s="10">
        <f>[1]!s_fa_debttoassets(O14,O13)/100</f>
        <v>0.298674</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34</v>
      </c>
      <c r="J21" s="68">
        <f>[1]!s_fa_current(J14,J13)</f>
        <v>2.1282999999999999</v>
      </c>
      <c r="K21" s="118"/>
      <c r="L21" s="68">
        <f>[1]!s_fa_current(L14,L13)</f>
        <v>1.8144</v>
      </c>
      <c r="M21" s="68">
        <f>[1]!s_fa_current(M14,M13)</f>
        <v>2.6962000000000002</v>
      </c>
      <c r="N21" s="68">
        <f>[1]!s_fa_current(N14,N13)</f>
        <v>3.9102999999999999</v>
      </c>
      <c r="O21" s="68">
        <f>[1]!s_fa_current(O14,O13)</f>
        <v>2.7663000000000002</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35</v>
      </c>
      <c r="J22" s="66">
        <f>(J96+J97+J98+J99+J100+J101)/J103</f>
        <v>1.335439016555096</v>
      </c>
      <c r="K22" s="118"/>
      <c r="L22" s="66">
        <f>(公式页!L96+公式页!L97+公式页!L98+公式页!L99+公式页!L100+公式页!L101)/公式页!L103</f>
        <v>1.2699973383336971</v>
      </c>
      <c r="M22" s="66">
        <f t="shared" ref="M22:R22" si="0">(M96+M97+M98+M99+M100+M101)/M103</f>
        <v>0.72956224557947569</v>
      </c>
      <c r="N22" s="66">
        <f t="shared" si="0"/>
        <v>0.84438435151538149</v>
      </c>
      <c r="O22" s="66">
        <f t="shared" si="0"/>
        <v>0.24414086546833927</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36</v>
      </c>
      <c r="J23" s="68">
        <f>[1]!s_fa_ebitdatodebt(J14,J13)</f>
        <v>2.2800000000000001E-2</v>
      </c>
      <c r="K23" s="118"/>
      <c r="L23" s="68">
        <f>[1]!s_fa_ebitdatodebt(L14,L13)</f>
        <v>3.7199999999999997E-2</v>
      </c>
      <c r="M23" s="68">
        <f>[1]!s_fa_ebitdatodebt(M14,M13)</f>
        <v>5.2699999999999997E-2</v>
      </c>
      <c r="N23" s="68">
        <f>[1]!s_fa_ebitdatodebt(N14,N13)</f>
        <v>3.8199999999999998E-2</v>
      </c>
      <c r="O23" s="68">
        <f>[1]!s_fa_ebitdatodebt(O14,O13)</f>
        <v>0.28110000000000002</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37</v>
      </c>
      <c r="J24" s="68">
        <f>[1]!b_stm07_is(J14,9,J13,1)/100000000</f>
        <v>54.254271448599994</v>
      </c>
      <c r="K24" s="118"/>
      <c r="L24" s="68">
        <f>[1]!b_stm07_is(L14,9,L13,1)/100000000</f>
        <v>70.835307172499995</v>
      </c>
      <c r="M24" s="68">
        <f>[1]!b_stm07_is(M14,9,M13,1)/100000000</f>
        <v>16.644856084300002</v>
      </c>
      <c r="N24" s="68">
        <f>[1]!b_stm07_is(N14,9,N13,1)/100000000</f>
        <v>9.2110761869999997</v>
      </c>
      <c r="O24" s="68">
        <f>[1]!b_stm07_is(O14,9,O13,1)/100000000</f>
        <v>31.711920468800002</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38</v>
      </c>
      <c r="J25" s="11">
        <f>[1]!s_fa_salescashintoor(J14,J13)%</f>
        <v>1.1866000000000001</v>
      </c>
      <c r="K25" s="118"/>
      <c r="L25" s="11">
        <f>[1]!s_fa_salescashintoor(L14,L13)%</f>
        <v>0.92230000000000001</v>
      </c>
      <c r="M25" s="11">
        <f>[1]!s_fa_salescashintoor(M14,M13)%</f>
        <v>1.4870000000000001</v>
      </c>
      <c r="N25" s="11">
        <f>[1]!s_fa_salescashintoor(N14,N13)%</f>
        <v>0.97609999999999997</v>
      </c>
      <c r="O25" s="11">
        <f>[1]!s_fa_salescashintoor(O14,O13)%</f>
        <v>1.0585</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39</v>
      </c>
      <c r="J26" s="11">
        <f>[1]!s_fa_grossprofitmargin(J14,J13)%</f>
        <v>0.143008</v>
      </c>
      <c r="K26" s="118"/>
      <c r="L26" s="11">
        <f>[1]!s_fa_grossprofitmargin(L14,L13)%</f>
        <v>0.21248699999999998</v>
      </c>
      <c r="M26" s="11">
        <f>[1]!s_fa_grossprofitmargin(M14,M13)%</f>
        <v>0.34924500000000003</v>
      </c>
      <c r="N26" s="11">
        <f>[1]!s_fa_grossprofitmargin(N14,N13)%</f>
        <v>0.223245</v>
      </c>
      <c r="O26" s="11">
        <f>[1]!s_fa_grossprofitmargin(O14,O13)%</f>
        <v>0.25696400000000003</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40</v>
      </c>
      <c r="J27" s="69">
        <f>[1]!b_stm07_is(J14,60,J13,1)/100000000</f>
        <v>0.82106597209999999</v>
      </c>
      <c r="K27" s="118"/>
      <c r="L27" s="69">
        <f>[1]!b_stm07_is(L14,60,L13,1)/100000000</f>
        <v>2.0975489002000001</v>
      </c>
      <c r="M27" s="69">
        <f>[1]!b_stm07_is(M14,60,M13,1)/100000000</f>
        <v>0.55455963520000007</v>
      </c>
      <c r="N27" s="69">
        <f>[1]!b_stm07_is(N14,60,N13,1)/100000000</f>
        <v>3.3367820236000001</v>
      </c>
      <c r="O27" s="69">
        <f>[1]!b_stm07_is(O14,60,O13,1)/100000000</f>
        <v>8.3054702961999993</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41</v>
      </c>
      <c r="I28" s="54" t="s">
        <v>42</v>
      </c>
      <c r="J28" s="10">
        <f>[1]!s_fa_roe(J14,J13)%</f>
        <v>4.7099999999999998E-3</v>
      </c>
      <c r="K28" s="118"/>
      <c r="L28" s="10">
        <f>[1]!s_fa_roe(L14,L13)%</f>
        <v>7.9900000000000001E-4</v>
      </c>
      <c r="M28" s="10">
        <f>[1]!s_fa_roe(M14,M13)%</f>
        <v>9.2100000000000012E-3</v>
      </c>
      <c r="N28" s="10">
        <f>[1]!s_fa_roe(N14,N13)%</f>
        <v>3.8448999999999997E-2</v>
      </c>
      <c r="O28" s="10">
        <f>[1]!s_fa_roe(O14,O13)%</f>
        <v>0.108157</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43</v>
      </c>
      <c r="J29" s="69">
        <f>[1]!b_stm07_cs(J14,39,J13,1)/100000000</f>
        <v>6.8158990251000002</v>
      </c>
      <c r="K29" s="118"/>
      <c r="L29" s="69">
        <f>[1]!b_stm07_cs(L14,39,L13,1)/100000000</f>
        <v>-22.3959565139</v>
      </c>
      <c r="M29" s="69">
        <f>[1]!b_stm07_cs(M14,39,M13,1)/100000000</f>
        <v>-10.765865291199999</v>
      </c>
      <c r="N29" s="69">
        <f>[1]!b_stm07_cs(N14,39,N13,1)/100000000</f>
        <v>3.1165961636000001</v>
      </c>
      <c r="O29" s="69">
        <f>[1]!b_stm07_cs(O14,39,O13,1)/100000000</f>
        <v>1.8599330971000001</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44</v>
      </c>
      <c r="J96" s="71">
        <f>[1]!b_stm07_bs(J14,75,J13,1)</f>
        <v>2661927066.2399998</v>
      </c>
      <c r="K96" s="71"/>
      <c r="L96" s="71">
        <f>[1]!b_stm07_bs(L14,75,L13,1)</f>
        <v>1206000000</v>
      </c>
      <c r="M96" s="71">
        <f>[1]!b_stm07_bs(M14,75,M13,1)</f>
        <v>958600000</v>
      </c>
      <c r="N96" s="71">
        <f>[1]!b_stm07_bs(N14,75,N13,1)</f>
        <v>1120000000</v>
      </c>
      <c r="O96" s="71">
        <f>[1]!b_stm07_bs(O14,75,O13,1)</f>
        <v>880000000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45</v>
      </c>
      <c r="J97" s="71">
        <f>[1]!b_stm07_bs(J14,82,J13,1)</f>
        <v>68354085.159999996</v>
      </c>
      <c r="K97" s="71"/>
      <c r="L97" s="71">
        <f>[1]!b_stm07_bs(L14,82,L13,1)</f>
        <v>281711933.27999997</v>
      </c>
      <c r="M97" s="71">
        <f>[1]!b_stm07_bs(M14,82,M13,1)</f>
        <v>88748292.329999998</v>
      </c>
      <c r="N97" s="71">
        <f>[1]!b_stm07_bs(N14,82,N13,1)</f>
        <v>141167218.33000001</v>
      </c>
      <c r="O97" s="71">
        <f>[1]!b_stm07_bs(O14,82,O13,1)</f>
        <v>17431392.940000001</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46</v>
      </c>
      <c r="J98" s="71">
        <f>[1]!b_stm07_bs(J14,88,J13,1)</f>
        <v>782758183.67999995</v>
      </c>
      <c r="K98" s="71"/>
      <c r="L98" s="71">
        <f>[1]!b_stm07_bs(L14,88,L13,1)</f>
        <v>3374988400</v>
      </c>
      <c r="M98" s="71">
        <f>[1]!b_stm07_bs(M14,88,M13,1)</f>
        <v>1453443268.48</v>
      </c>
      <c r="N98" s="71">
        <f>[1]!b_stm07_bs(N14,88,N13,1)</f>
        <v>0</v>
      </c>
      <c r="O98" s="71">
        <f>[1]!b_stm07_bs(O14,88,O13,1)</f>
        <v>810465815.41999996</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47</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48</v>
      </c>
      <c r="J100" s="71">
        <f>[1]!b_stm07_bs(J14,94,J13,1)</f>
        <v>12605592887.950001</v>
      </c>
      <c r="K100" s="71"/>
      <c r="L100" s="71">
        <f>[1]!b_stm07_bs(L14,94,L13,1)</f>
        <v>8245449670.6099997</v>
      </c>
      <c r="M100" s="71">
        <f>[1]!b_stm07_bs(M14,94,M13,1)</f>
        <v>2820850000</v>
      </c>
      <c r="N100" s="71">
        <f>[1]!b_stm07_bs(N14,94,N13,1)</f>
        <v>5453660000.3299999</v>
      </c>
      <c r="O100" s="71">
        <f>[1]!b_stm07_bs(O14,94,O13,1)</f>
        <v>947322434.21000004</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49</v>
      </c>
      <c r="J101" s="71">
        <f>[1]!b_stm07_bs(J14,95,J13,1)</f>
        <v>2984202740.6199999</v>
      </c>
      <c r="K101" s="71"/>
      <c r="L101" s="71">
        <f>[1]!b_stm07_bs(L14,95,L13,1)</f>
        <v>5100000000</v>
      </c>
      <c r="M101" s="71">
        <f>[1]!b_stm07_bs(M14,95,M13,1)</f>
        <v>1294483628.51</v>
      </c>
      <c r="N101" s="71">
        <f>[1]!b_stm07_bs(N14,95,N13,1)</f>
        <v>2600000000</v>
      </c>
      <c r="O101" s="71">
        <f>[1]!b_stm07_bs(O14,95,O13,1)</f>
        <v>529879890.75</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50</v>
      </c>
      <c r="J103" s="71">
        <f>[1]!b_stm07_bs(J14,141,J13,1)</f>
        <v>14304535607.27</v>
      </c>
      <c r="K103" s="71"/>
      <c r="L103" s="71">
        <f>[1]!b_stm07_bs(L14,141,L13,1)</f>
        <v>14337156035.129999</v>
      </c>
      <c r="M103" s="71">
        <f>[1]!b_stm07_bs(M14,141,M13,1)</f>
        <v>9068623314.0599995</v>
      </c>
      <c r="N103" s="71">
        <f>[1]!b_stm07_bs(N14,141,N13,1)</f>
        <v>11031501474.35</v>
      </c>
      <c r="O103" s="71">
        <f>[1]!b_stm07_bs(O14,141,O13,1)</f>
        <v>13046154838.559999</v>
      </c>
      <c r="P103" s="71">
        <f>[1]!b_stm07_bs(P14,141,P13,1)</f>
        <v>0</v>
      </c>
      <c r="Q103" s="71">
        <f>[1]!b_stm07_bs(Q14,141,Q13,1)</f>
        <v>0</v>
      </c>
      <c r="R103" s="71">
        <f>[1]!b_stm07_bs(R14,141,R13,1)</f>
        <v>0</v>
      </c>
    </row>
    <row r="106" spans="1:19" ht="14.25" customHeight="1" x14ac:dyDescent="0.25">
      <c r="A106" s="127" t="s">
        <v>51</v>
      </c>
      <c r="B106" s="128"/>
      <c r="C106" s="128"/>
      <c r="D106" s="118"/>
      <c r="E106" s="118"/>
      <c r="F106" s="118"/>
      <c r="G106" s="118"/>
      <c r="H106" s="118"/>
      <c r="I106" s="118"/>
      <c r="J106" s="118"/>
      <c r="L106" s="17"/>
      <c r="M106" s="17"/>
    </row>
    <row r="107" spans="1:19" x14ac:dyDescent="0.25">
      <c r="A107" s="126" t="s">
        <v>52</v>
      </c>
      <c r="B107" s="128"/>
      <c r="C107" s="128"/>
      <c r="D107" s="118"/>
      <c r="E107" s="118"/>
      <c r="F107" s="118"/>
      <c r="G107" s="134">
        <v>2017</v>
      </c>
      <c r="H107" s="118"/>
      <c r="I107" s="118"/>
      <c r="J107" s="118"/>
      <c r="K107" s="40" t="str">
        <f>A2</f>
        <v>d19041502.IB</v>
      </c>
      <c r="L107" s="33">
        <f>B2</f>
        <v>43100</v>
      </c>
      <c r="M107" s="17"/>
    </row>
    <row r="108" spans="1:19" ht="12.75" customHeight="1" x14ac:dyDescent="0.25">
      <c r="A108" s="135" t="s">
        <v>53</v>
      </c>
      <c r="B108" s="128"/>
      <c r="C108" s="135" t="s">
        <v>54</v>
      </c>
      <c r="D108" s="118"/>
      <c r="E108" s="135" t="s">
        <v>55</v>
      </c>
      <c r="F108" s="118"/>
      <c r="G108" s="135" t="s">
        <v>56</v>
      </c>
      <c r="H108" s="118"/>
      <c r="I108" s="135" t="s">
        <v>57</v>
      </c>
      <c r="J108" s="118"/>
      <c r="L108" s="17"/>
      <c r="M108" s="17"/>
    </row>
    <row r="109" spans="1:19" ht="16.5" customHeight="1" x14ac:dyDescent="0.25">
      <c r="A109" s="54" t="s">
        <v>58</v>
      </c>
      <c r="B109" s="12">
        <f>M109/100</f>
        <v>0.64482799999999996</v>
      </c>
      <c r="C109" s="54" t="s">
        <v>34</v>
      </c>
      <c r="D109" s="72">
        <f>[1]!s_fa_current(A2,B2)</f>
        <v>2.1282999999999999</v>
      </c>
      <c r="E109" s="54" t="s">
        <v>38</v>
      </c>
      <c r="F109" s="73">
        <f>[1]!s_fa_salescashintoor(A2,B2)/100</f>
        <v>1.1866000000000001</v>
      </c>
      <c r="G109" s="54" t="s">
        <v>39</v>
      </c>
      <c r="H109" s="12">
        <f>S109/100</f>
        <v>0.143008</v>
      </c>
      <c r="I109" s="54"/>
      <c r="J109" s="16"/>
      <c r="K109" s="25"/>
      <c r="L109" s="34" t="s">
        <v>58</v>
      </c>
      <c r="M109" s="74">
        <f>[1]!s_fa_debttoassets(A2,B2)</f>
        <v>64.482799999999997</v>
      </c>
      <c r="N109" s="54" t="s">
        <v>34</v>
      </c>
      <c r="O109" s="35"/>
      <c r="P109" s="54" t="s">
        <v>38</v>
      </c>
      <c r="Q109" s="35"/>
      <c r="R109" s="54" t="s">
        <v>39</v>
      </c>
      <c r="S109" s="75">
        <f>[1]!s_fa_grossprofitmargin(A2,B2)</f>
        <v>14.300800000000001</v>
      </c>
    </row>
    <row r="110" spans="1:19" ht="15.75" customHeight="1" x14ac:dyDescent="0.25">
      <c r="A110" s="54" t="s">
        <v>59</v>
      </c>
      <c r="B110" s="12">
        <f>M110/100</f>
        <v>0.45586100000000002</v>
      </c>
      <c r="C110" s="54" t="s">
        <v>60</v>
      </c>
      <c r="D110" s="73">
        <f>[1]!s_fa_quick(A2,B2)</f>
        <v>1.0354000000000001</v>
      </c>
      <c r="E110" s="54" t="s">
        <v>61</v>
      </c>
      <c r="F110" s="72">
        <f>[1]!s_fa_arturn(A2,B2)</f>
        <v>8.5434999999999999</v>
      </c>
      <c r="G110" s="54" t="s">
        <v>62</v>
      </c>
      <c r="H110" s="12">
        <f>S110/100</f>
        <v>-9.5329999999999998E-3</v>
      </c>
      <c r="I110" s="54"/>
      <c r="J110" s="16"/>
      <c r="L110" s="54" t="s">
        <v>59</v>
      </c>
      <c r="M110" s="74">
        <f>[1]!s_fa_catoassets(A2,B2)</f>
        <v>45.586100000000002</v>
      </c>
      <c r="N110" s="54" t="s">
        <v>60</v>
      </c>
      <c r="O110" s="35"/>
      <c r="P110" s="54" t="s">
        <v>61</v>
      </c>
      <c r="Q110" s="73"/>
      <c r="R110" s="54" t="s">
        <v>62</v>
      </c>
      <c r="S110" s="75">
        <f>[1]!s_fa_optogr(A2,B2)</f>
        <v>-0.95330000000000004</v>
      </c>
    </row>
    <row r="111" spans="1:19" ht="15" customHeight="1" x14ac:dyDescent="0.25">
      <c r="A111" s="54" t="s">
        <v>63</v>
      </c>
      <c r="B111" s="12">
        <f>M111/100</f>
        <v>0.33216099999999998</v>
      </c>
      <c r="C111" s="54" t="s">
        <v>36</v>
      </c>
      <c r="D111" s="73">
        <f>[1]!s_fa_ebitdatodebt(A2,B2)</f>
        <v>2.2800000000000001E-2</v>
      </c>
      <c r="E111" s="54" t="s">
        <v>64</v>
      </c>
      <c r="F111" s="72">
        <f>[1]!s_fa_invturn(A2,B2)</f>
        <v>0.62649999999999995</v>
      </c>
      <c r="G111" s="54" t="s">
        <v>42</v>
      </c>
      <c r="H111" s="12">
        <f>S111/100</f>
        <v>4.7099999999999998E-3</v>
      </c>
      <c r="I111" s="54"/>
      <c r="J111" s="16"/>
      <c r="L111" s="54" t="s">
        <v>63</v>
      </c>
      <c r="M111" s="74">
        <f>[1]!s_fa_currentdebttodebt(A2,B2)</f>
        <v>33.216099999999997</v>
      </c>
      <c r="N111" s="54" t="s">
        <v>36</v>
      </c>
      <c r="O111" s="35"/>
      <c r="P111" s="54" t="s">
        <v>64</v>
      </c>
      <c r="Q111" s="35"/>
      <c r="R111" s="54" t="s">
        <v>42</v>
      </c>
      <c r="S111" s="75">
        <f>[1]!s_fa_roe(A2,B2)</f>
        <v>0.47099999999999997</v>
      </c>
    </row>
    <row r="112" spans="1:19" ht="14.25" customHeight="1" x14ac:dyDescent="0.25">
      <c r="A112" s="54" t="s">
        <v>35</v>
      </c>
      <c r="B112" s="76">
        <f>(M116+M117+M118+M119+M120+M121)/M123</f>
        <v>1.335439016555096</v>
      </c>
      <c r="C112" s="54" t="s">
        <v>65</v>
      </c>
      <c r="D112" s="73">
        <f>[1]!s_fa_ebittointerest(A2,B2)</f>
        <v>1.6783999999999999</v>
      </c>
      <c r="E112" s="54" t="s">
        <v>66</v>
      </c>
      <c r="F112" s="72">
        <f>[1]!s_fa_caturn(A2,B2)</f>
        <v>0.34589999999999999</v>
      </c>
      <c r="G112" s="54" t="s">
        <v>67</v>
      </c>
      <c r="H112" s="12">
        <f>S112/100</f>
        <v>8.5690000000000002E-3</v>
      </c>
      <c r="I112" s="54"/>
      <c r="J112" s="16"/>
      <c r="L112" s="54" t="s">
        <v>35</v>
      </c>
      <c r="M112" s="77"/>
      <c r="N112" s="54" t="s">
        <v>65</v>
      </c>
      <c r="O112" s="35"/>
      <c r="P112" s="54" t="s">
        <v>66</v>
      </c>
      <c r="Q112" s="35"/>
      <c r="R112" s="54" t="s">
        <v>67</v>
      </c>
      <c r="S112" s="75">
        <f>[1]!s_fa_roa2(A2,B2)</f>
        <v>0.8569</v>
      </c>
    </row>
    <row r="113" spans="1:21" x14ac:dyDescent="0.25">
      <c r="A113" s="30"/>
      <c r="B113" s="31"/>
      <c r="C113" s="30"/>
      <c r="D113" s="32"/>
      <c r="E113" s="30" t="s">
        <v>68</v>
      </c>
      <c r="F113" s="78">
        <f>[1]!s_fa_dupont_faturnover(A2,B2)</f>
        <v>0.14680000000000001</v>
      </c>
      <c r="G113" s="30"/>
      <c r="H113" s="31"/>
      <c r="I113" s="30"/>
      <c r="J113" s="31"/>
      <c r="L113" s="30"/>
      <c r="M113" s="36"/>
      <c r="N113" s="30"/>
      <c r="O113" s="32"/>
      <c r="P113" s="30" t="s">
        <v>68</v>
      </c>
      <c r="Q113" s="37"/>
      <c r="R113" s="30"/>
      <c r="S113" s="31"/>
    </row>
    <row r="114" spans="1:21" ht="13.5" customHeight="1" x14ac:dyDescent="0.25">
      <c r="A114" s="127" t="s">
        <v>69</v>
      </c>
      <c r="B114" s="128"/>
      <c r="C114" s="128"/>
      <c r="D114" s="118"/>
      <c r="E114" s="118"/>
      <c r="F114" s="118"/>
      <c r="G114" s="118"/>
      <c r="H114" s="118"/>
      <c r="I114" s="118"/>
      <c r="J114" s="118"/>
      <c r="L114" s="17"/>
      <c r="M114" s="17"/>
    </row>
    <row r="115" spans="1:21" ht="13.5" customHeight="1" x14ac:dyDescent="0.25">
      <c r="A115" s="126" t="s">
        <v>70</v>
      </c>
      <c r="B115" s="128"/>
      <c r="C115" s="128"/>
      <c r="D115" s="118"/>
      <c r="E115" s="118"/>
      <c r="F115" s="118"/>
      <c r="G115" s="129">
        <v>2017</v>
      </c>
      <c r="H115" s="118"/>
      <c r="I115" s="118"/>
      <c r="J115" s="118"/>
      <c r="L115" s="17"/>
      <c r="M115" s="17"/>
    </row>
    <row r="116" spans="1:21" x14ac:dyDescent="0.25">
      <c r="A116" s="130" t="s">
        <v>71</v>
      </c>
      <c r="B116" s="128"/>
      <c r="C116" s="130" t="s">
        <v>72</v>
      </c>
      <c r="D116" s="118"/>
      <c r="E116" s="131" t="s">
        <v>73</v>
      </c>
      <c r="F116" s="118"/>
      <c r="G116" s="118"/>
      <c r="H116" s="118"/>
      <c r="I116" s="118"/>
      <c r="J116" s="118"/>
      <c r="L116" s="17" t="s">
        <v>44</v>
      </c>
      <c r="M116" s="71">
        <f>[1]!b_stm07_bs(K107,75,L107,1)</f>
        <v>2661927066.2399998</v>
      </c>
    </row>
    <row r="117" spans="1:21" ht="14.25" customHeight="1" x14ac:dyDescent="0.25">
      <c r="A117" s="54" t="s">
        <v>74</v>
      </c>
      <c r="B117" s="73">
        <f t="shared" ref="B117:B131" si="1">M127/100000000</f>
        <v>51.5515999745</v>
      </c>
      <c r="C117" s="54" t="s">
        <v>75</v>
      </c>
      <c r="D117" s="76">
        <f t="shared" ref="D117:D125" si="2">O127/100000000</f>
        <v>54.254271448599994</v>
      </c>
      <c r="E117" s="119" t="s">
        <v>76</v>
      </c>
      <c r="F117" s="118"/>
      <c r="G117" s="118"/>
      <c r="H117" s="124">
        <f t="shared" ref="H117:H131" si="3">S127/100000000</f>
        <v>64.377398425199999</v>
      </c>
      <c r="I117" s="118"/>
      <c r="J117" s="118"/>
      <c r="L117" s="17" t="s">
        <v>45</v>
      </c>
      <c r="M117" s="71">
        <f>[1]!b_stm07_bs(K107,82,L107,1)</f>
        <v>68354085.159999996</v>
      </c>
    </row>
    <row r="118" spans="1:21" ht="14.25" customHeight="1" x14ac:dyDescent="0.25">
      <c r="A118" s="54" t="s">
        <v>77</v>
      </c>
      <c r="B118" s="73">
        <f t="shared" si="1"/>
        <v>8.2191936796</v>
      </c>
      <c r="C118" s="54" t="s">
        <v>78</v>
      </c>
      <c r="D118" s="76">
        <f t="shared" si="2"/>
        <v>56.052097191400001</v>
      </c>
      <c r="E118" s="119" t="s">
        <v>79</v>
      </c>
      <c r="F118" s="118"/>
      <c r="G118" s="118"/>
      <c r="H118" s="124">
        <f t="shared" si="3"/>
        <v>103.18121186309999</v>
      </c>
      <c r="I118" s="118"/>
      <c r="J118" s="118"/>
      <c r="L118" s="17" t="s">
        <v>46</v>
      </c>
      <c r="M118" s="71">
        <f>[1]!b_stm07_bs(K107,88,L107,1)</f>
        <v>782758183.67999995</v>
      </c>
    </row>
    <row r="119" spans="1:21" ht="14.25" customHeight="1" x14ac:dyDescent="0.25">
      <c r="A119" s="54" t="s">
        <v>80</v>
      </c>
      <c r="B119" s="73">
        <f t="shared" si="1"/>
        <v>17.433497926899999</v>
      </c>
      <c r="C119" s="54" t="s">
        <v>81</v>
      </c>
      <c r="D119" s="76">
        <f t="shared" si="2"/>
        <v>46.495496114200002</v>
      </c>
      <c r="E119" s="119" t="s">
        <v>82</v>
      </c>
      <c r="F119" s="118"/>
      <c r="G119" s="118"/>
      <c r="H119" s="123">
        <f t="shared" si="3"/>
        <v>167.75535051759999</v>
      </c>
      <c r="I119" s="118"/>
      <c r="J119" s="118"/>
      <c r="L119" s="17" t="s">
        <v>47</v>
      </c>
      <c r="M119" s="71">
        <f>[1]!b_stm07_bs(K107,147,L107,1)</f>
        <v>0</v>
      </c>
    </row>
    <row r="120" spans="1:21" ht="14.25" customHeight="1" x14ac:dyDescent="0.25">
      <c r="A120" s="54" t="s">
        <v>83</v>
      </c>
      <c r="B120" s="73">
        <f t="shared" si="1"/>
        <v>41.4842546434</v>
      </c>
      <c r="C120" s="54" t="s">
        <v>84</v>
      </c>
      <c r="D120" s="76">
        <f t="shared" si="2"/>
        <v>1.8174040306999999</v>
      </c>
      <c r="E120" s="119" t="s">
        <v>85</v>
      </c>
      <c r="F120" s="118"/>
      <c r="G120" s="118"/>
      <c r="H120" s="124">
        <f t="shared" si="3"/>
        <v>58.471138464500001</v>
      </c>
      <c r="I120" s="118"/>
      <c r="J120" s="118"/>
      <c r="L120" s="17" t="s">
        <v>48</v>
      </c>
      <c r="M120" s="71">
        <f>[1]!b_stm07_bs(K107,94,L107,1)</f>
        <v>12605592887.950001</v>
      </c>
    </row>
    <row r="121" spans="1:21" ht="14.25" customHeight="1" x14ac:dyDescent="0.25">
      <c r="A121" s="54" t="s">
        <v>86</v>
      </c>
      <c r="B121" s="73">
        <f t="shared" si="1"/>
        <v>50.830161624799999</v>
      </c>
      <c r="C121" s="54" t="s">
        <v>87</v>
      </c>
      <c r="D121" s="76">
        <f t="shared" si="2"/>
        <v>4.5975383032999995</v>
      </c>
      <c r="E121" s="119" t="s">
        <v>88</v>
      </c>
      <c r="F121" s="118"/>
      <c r="G121" s="118"/>
      <c r="H121" s="124">
        <f t="shared" si="3"/>
        <v>94.540661932399999</v>
      </c>
      <c r="I121" s="118"/>
      <c r="J121" s="118"/>
      <c r="L121" s="17" t="s">
        <v>49</v>
      </c>
      <c r="M121" s="71">
        <f>[1]!b_stm07_bs(K107,95,L107,1)</f>
        <v>2984202740.6199999</v>
      </c>
    </row>
    <row r="122" spans="1:21" ht="14.25" customHeight="1" x14ac:dyDescent="0.25">
      <c r="A122" s="54" t="s">
        <v>89</v>
      </c>
      <c r="B122" s="73">
        <f t="shared" si="1"/>
        <v>48.020303562399995</v>
      </c>
      <c r="C122" s="54" t="s">
        <v>90</v>
      </c>
      <c r="D122" s="76">
        <f t="shared" si="2"/>
        <v>1.9717050743</v>
      </c>
      <c r="E122" s="119" t="s">
        <v>91</v>
      </c>
      <c r="F122" s="118"/>
      <c r="G122" s="118"/>
      <c r="H122" s="123">
        <f t="shared" si="3"/>
        <v>160.93945149250001</v>
      </c>
      <c r="I122" s="118"/>
      <c r="J122" s="118"/>
      <c r="L122" s="17"/>
      <c r="M122" s="17"/>
    </row>
    <row r="123" spans="1:21" ht="14.25" customHeight="1" x14ac:dyDescent="0.25">
      <c r="A123" s="54" t="s">
        <v>92</v>
      </c>
      <c r="B123" s="79">
        <f t="shared" si="1"/>
        <v>402.74962903929998</v>
      </c>
      <c r="C123" s="54" t="s">
        <v>93</v>
      </c>
      <c r="D123" s="76">
        <f t="shared" si="2"/>
        <v>-0.51722236499999996</v>
      </c>
      <c r="E123" s="119" t="s">
        <v>94</v>
      </c>
      <c r="F123" s="118"/>
      <c r="G123" s="118"/>
      <c r="H123" s="123">
        <f t="shared" si="3"/>
        <v>6.8158990251000002</v>
      </c>
      <c r="I123" s="118"/>
      <c r="J123" s="118"/>
      <c r="L123" s="17" t="s">
        <v>50</v>
      </c>
      <c r="M123" s="71">
        <f>[1]!b_stm07_bs(K107,141,L107,1)</f>
        <v>14304535607.27</v>
      </c>
    </row>
    <row r="124" spans="1:21" ht="14.25" customHeight="1" x14ac:dyDescent="0.25">
      <c r="A124" s="54" t="s">
        <v>95</v>
      </c>
      <c r="B124" s="73">
        <f t="shared" si="1"/>
        <v>26.619270662399998</v>
      </c>
      <c r="C124" s="54" t="s">
        <v>96</v>
      </c>
      <c r="D124" s="76">
        <f t="shared" si="2"/>
        <v>1.2798094979999999</v>
      </c>
      <c r="E124" s="119" t="s">
        <v>97</v>
      </c>
      <c r="F124" s="118"/>
      <c r="G124" s="118"/>
      <c r="H124" s="123">
        <f t="shared" si="3"/>
        <v>-29.845977480100004</v>
      </c>
      <c r="I124" s="118"/>
      <c r="J124" s="118"/>
      <c r="L124" s="17"/>
      <c r="M124" s="17"/>
    </row>
    <row r="125" spans="1:21" ht="27" customHeight="1" x14ac:dyDescent="0.25">
      <c r="A125" s="54" t="s">
        <v>98</v>
      </c>
      <c r="B125" s="73">
        <f t="shared" si="1"/>
        <v>7.8275818367999994</v>
      </c>
      <c r="C125" s="54" t="s">
        <v>40</v>
      </c>
      <c r="D125" s="76">
        <f t="shared" si="2"/>
        <v>0.82106597209999999</v>
      </c>
      <c r="E125" s="119" t="s">
        <v>99</v>
      </c>
      <c r="F125" s="118"/>
      <c r="G125" s="118"/>
      <c r="H125" s="124">
        <f t="shared" si="3"/>
        <v>3.62</v>
      </c>
      <c r="I125" s="118"/>
      <c r="J125" s="118"/>
      <c r="L125" s="17"/>
      <c r="M125" s="17"/>
    </row>
    <row r="126" spans="1:21" ht="16.5" customHeight="1" x14ac:dyDescent="0.25">
      <c r="A126" s="54" t="s">
        <v>100</v>
      </c>
      <c r="B126" s="73">
        <f t="shared" si="1"/>
        <v>0</v>
      </c>
      <c r="C126" s="54"/>
      <c r="D126" s="80"/>
      <c r="E126" s="119" t="s">
        <v>101</v>
      </c>
      <c r="F126" s="118"/>
      <c r="G126" s="118"/>
      <c r="H126" s="124">
        <f t="shared" si="3"/>
        <v>85.514348302100004</v>
      </c>
      <c r="I126" s="118"/>
      <c r="J126" s="118"/>
      <c r="L126" s="125" t="s">
        <v>71</v>
      </c>
      <c r="M126" s="118"/>
      <c r="N126" s="125" t="s">
        <v>72</v>
      </c>
      <c r="O126" s="118"/>
      <c r="P126" s="126" t="s">
        <v>73</v>
      </c>
      <c r="Q126" s="118"/>
      <c r="R126" s="118"/>
      <c r="S126" s="121"/>
      <c r="T126" s="121"/>
      <c r="U126" s="121"/>
    </row>
    <row r="127" spans="1:21" ht="14.25" customHeight="1" x14ac:dyDescent="0.25">
      <c r="A127" s="54" t="s">
        <v>102</v>
      </c>
      <c r="B127" s="73">
        <f t="shared" si="1"/>
        <v>126.0559288795</v>
      </c>
      <c r="C127" s="54"/>
      <c r="D127" s="80"/>
      <c r="E127" s="119" t="s">
        <v>103</v>
      </c>
      <c r="F127" s="118"/>
      <c r="G127" s="118"/>
      <c r="H127" s="124">
        <f t="shared" si="3"/>
        <v>14</v>
      </c>
      <c r="I127" s="118"/>
      <c r="J127" s="118"/>
      <c r="L127" s="54" t="s">
        <v>74</v>
      </c>
      <c r="M127" s="75">
        <f>[1]!b_stm07_bs(K107,9,L107,1)</f>
        <v>5155159997.4499998</v>
      </c>
      <c r="N127" s="54" t="s">
        <v>75</v>
      </c>
      <c r="O127" s="75">
        <f>[1]!b_stm07_is(K107,83,L107,1)</f>
        <v>5425427144.8599997</v>
      </c>
      <c r="P127" s="119" t="s">
        <v>76</v>
      </c>
      <c r="Q127" s="118"/>
      <c r="R127" s="118"/>
      <c r="S127" s="120">
        <f>[1]!b_stm07_cs(K107,9,L107,1)</f>
        <v>6437739842.5200005</v>
      </c>
      <c r="T127" s="121"/>
      <c r="U127" s="121"/>
    </row>
    <row r="128" spans="1:21" ht="14.25" customHeight="1" x14ac:dyDescent="0.25">
      <c r="A128" s="54" t="s">
        <v>104</v>
      </c>
      <c r="B128" s="73">
        <f t="shared" si="1"/>
        <v>29.8420274062</v>
      </c>
      <c r="C128" s="54"/>
      <c r="D128" s="80"/>
      <c r="E128" s="119" t="s">
        <v>105</v>
      </c>
      <c r="F128" s="118"/>
      <c r="G128" s="118"/>
      <c r="H128" s="123">
        <f t="shared" si="3"/>
        <v>108.63767162030001</v>
      </c>
      <c r="I128" s="118"/>
      <c r="J128" s="118"/>
      <c r="L128" s="54" t="s">
        <v>77</v>
      </c>
      <c r="M128" s="75">
        <f>[1]!b_stm07_bs(K107,12,L107,1)</f>
        <v>821919367.96000004</v>
      </c>
      <c r="N128" s="54" t="s">
        <v>78</v>
      </c>
      <c r="O128" s="75">
        <f>[1]!b_stm07_is(K107,84,L107,1)</f>
        <v>5605209719.1400003</v>
      </c>
      <c r="P128" s="119" t="s">
        <v>79</v>
      </c>
      <c r="Q128" s="118"/>
      <c r="R128" s="118"/>
      <c r="S128" s="120">
        <f>[1]!b_stm07_cs(K107,11,L107,1)</f>
        <v>10318121186.309999</v>
      </c>
      <c r="T128" s="121"/>
      <c r="U128" s="121"/>
    </row>
    <row r="129" spans="1:21" ht="14.25" customHeight="1" x14ac:dyDescent="0.25">
      <c r="A129" s="54" t="s">
        <v>106</v>
      </c>
      <c r="B129" s="79">
        <f t="shared" si="1"/>
        <v>259.7042729666</v>
      </c>
      <c r="C129" s="14"/>
      <c r="D129" s="13"/>
      <c r="E129" s="119" t="s">
        <v>107</v>
      </c>
      <c r="F129" s="118"/>
      <c r="G129" s="118"/>
      <c r="H129" s="124">
        <f t="shared" si="3"/>
        <v>42.977776910299994</v>
      </c>
      <c r="I129" s="118"/>
      <c r="J129" s="118"/>
      <c r="L129" s="54" t="s">
        <v>80</v>
      </c>
      <c r="M129" s="75">
        <f>[1]!b_stm07_bs(K107,13,L107,1)</f>
        <v>1743349792.6900001</v>
      </c>
      <c r="N129" s="54" t="s">
        <v>81</v>
      </c>
      <c r="O129" s="75">
        <f>[1]!b_stm07_is(K107,10,L107,1)</f>
        <v>4649549611.4200001</v>
      </c>
      <c r="P129" s="119" t="s">
        <v>82</v>
      </c>
      <c r="Q129" s="118"/>
      <c r="R129" s="118"/>
      <c r="S129" s="122">
        <f>[1]!b_stm07_cs(K107,25,L107,1)</f>
        <v>16775535051.76</v>
      </c>
      <c r="T129" s="121"/>
      <c r="U129" s="121"/>
    </row>
    <row r="130" spans="1:21" ht="14.25" customHeight="1" x14ac:dyDescent="0.25">
      <c r="A130" s="54" t="s">
        <v>108</v>
      </c>
      <c r="B130" s="79">
        <f t="shared" si="1"/>
        <v>143.0453560727</v>
      </c>
      <c r="C130" s="14"/>
      <c r="D130" s="13"/>
      <c r="E130" s="119" t="s">
        <v>109</v>
      </c>
      <c r="F130" s="118"/>
      <c r="G130" s="118"/>
      <c r="H130" s="124">
        <f t="shared" si="3"/>
        <v>65.355393973700004</v>
      </c>
      <c r="I130" s="118"/>
      <c r="J130" s="118"/>
      <c r="L130" s="54" t="s">
        <v>83</v>
      </c>
      <c r="M130" s="75">
        <f>[1]!b_stm07_bs(K107,31,L107,1)</f>
        <v>4148425464.3400002</v>
      </c>
      <c r="N130" s="54" t="s">
        <v>84</v>
      </c>
      <c r="O130" s="75">
        <f>[1]!b_stm07_is(K107,12,L107,1)</f>
        <v>181740403.06999999</v>
      </c>
      <c r="P130" s="119" t="s">
        <v>85</v>
      </c>
      <c r="Q130" s="118"/>
      <c r="R130" s="118"/>
      <c r="S130" s="120">
        <f>[1]!b_stm07_cs(K107,26,L107,1)</f>
        <v>5847113846.4499998</v>
      </c>
      <c r="T130" s="121"/>
      <c r="U130" s="121"/>
    </row>
    <row r="131" spans="1:21" ht="14.25" customHeight="1" x14ac:dyDescent="0.25">
      <c r="A131" s="15" t="s">
        <v>110</v>
      </c>
      <c r="B131" s="79">
        <f t="shared" si="1"/>
        <v>402.74962903929998</v>
      </c>
      <c r="C131" s="14"/>
      <c r="D131" s="13"/>
      <c r="E131" s="119" t="s">
        <v>111</v>
      </c>
      <c r="F131" s="118"/>
      <c r="G131" s="118"/>
      <c r="H131" s="123">
        <f t="shared" si="3"/>
        <v>43.282277646600001</v>
      </c>
      <c r="I131" s="118"/>
      <c r="J131" s="118"/>
      <c r="L131" s="54" t="s">
        <v>86</v>
      </c>
      <c r="M131" s="75">
        <f>[1]!b_stm07_bs(K107,33,L107,1)</f>
        <v>5083016162.4799995</v>
      </c>
      <c r="N131" s="54" t="s">
        <v>87</v>
      </c>
      <c r="O131" s="75">
        <f>[1]!b_stm07_is(K107,13,L107,1)</f>
        <v>459753830.32999998</v>
      </c>
      <c r="P131" s="119" t="s">
        <v>88</v>
      </c>
      <c r="Q131" s="118"/>
      <c r="R131" s="118"/>
      <c r="S131" s="120">
        <f>[1]!b_stm07_cs(K107,29,L107,1)</f>
        <v>9454066193.2399998</v>
      </c>
      <c r="T131" s="121"/>
      <c r="U131" s="121"/>
    </row>
    <row r="132" spans="1:21" x14ac:dyDescent="0.25">
      <c r="L132" s="54" t="s">
        <v>89</v>
      </c>
      <c r="M132" s="75">
        <f>[1]!b_stm07_bs(K107,37,L107,1)</f>
        <v>4802030356.2399998</v>
      </c>
      <c r="N132" s="54" t="s">
        <v>90</v>
      </c>
      <c r="O132" s="75">
        <f>[1]!b_stm07_is(K107,14,L107,1)</f>
        <v>197170507.43000001</v>
      </c>
      <c r="P132" s="119" t="s">
        <v>91</v>
      </c>
      <c r="Q132" s="118"/>
      <c r="R132" s="118"/>
      <c r="S132" s="122">
        <f>[1]!b_stm07_cs(K107,37,L107,1)</f>
        <v>16093945149.25</v>
      </c>
      <c r="T132" s="121"/>
      <c r="U132" s="121"/>
    </row>
    <row r="133" spans="1:21" x14ac:dyDescent="0.25">
      <c r="L133" s="54" t="s">
        <v>92</v>
      </c>
      <c r="M133" s="81">
        <f>[1]!b_stm07_bs(K107,74,L107,1)</f>
        <v>40274962903.93</v>
      </c>
      <c r="N133" s="54" t="s">
        <v>93</v>
      </c>
      <c r="O133" s="75">
        <f>[1]!b_stm07_is(K107,48,L107,1)</f>
        <v>-51722236.5</v>
      </c>
      <c r="P133" s="119" t="s">
        <v>94</v>
      </c>
      <c r="Q133" s="118"/>
      <c r="R133" s="118"/>
      <c r="S133" s="122">
        <f>[1]!b_stm07_cs(K107,39,L107,1)</f>
        <v>681589902.50999999</v>
      </c>
      <c r="T133" s="121"/>
      <c r="U133" s="121"/>
    </row>
    <row r="134" spans="1:21" x14ac:dyDescent="0.25">
      <c r="L134" s="54" t="s">
        <v>95</v>
      </c>
      <c r="M134" s="75">
        <f>[1]!b_stm07_bs(K107,75,L107,1)</f>
        <v>2661927066.2399998</v>
      </c>
      <c r="N134" s="54" t="s">
        <v>96</v>
      </c>
      <c r="O134" s="75">
        <f>[1]!b_stm07_is(K107,55,L107,1)</f>
        <v>127980949.8</v>
      </c>
      <c r="P134" s="119" t="s">
        <v>97</v>
      </c>
      <c r="Q134" s="118"/>
      <c r="R134" s="118"/>
      <c r="S134" s="122">
        <f>[1]!b_stm07_cs(K107,59,L107,1)</f>
        <v>-2984597748.0100002</v>
      </c>
      <c r="T134" s="121"/>
      <c r="U134" s="121"/>
    </row>
    <row r="135" spans="1:21" ht="32.4" customHeight="1" x14ac:dyDescent="0.25">
      <c r="L135" s="54" t="s">
        <v>98</v>
      </c>
      <c r="M135" s="75">
        <f>[1]!b_stm07_bs(K107,88,L107,1)</f>
        <v>782758183.67999995</v>
      </c>
      <c r="N135" s="54" t="s">
        <v>40</v>
      </c>
      <c r="O135" s="75">
        <f>[1]!b_stm07_is(K107,60,L107,1)</f>
        <v>82106597.209999993</v>
      </c>
      <c r="P135" s="119" t="s">
        <v>99</v>
      </c>
      <c r="Q135" s="118"/>
      <c r="R135" s="118"/>
      <c r="S135" s="120">
        <f>[1]!b_stm07_cs(K107,60,L107,1)</f>
        <v>362000000</v>
      </c>
      <c r="T135" s="121"/>
      <c r="U135" s="121"/>
    </row>
    <row r="136" spans="1:21" ht="21.6" customHeight="1" x14ac:dyDescent="0.25">
      <c r="L136" s="54" t="s">
        <v>100</v>
      </c>
      <c r="M136" s="75">
        <f>[1]!b_stm07_bs(K107,147,L107,1)</f>
        <v>0</v>
      </c>
      <c r="N136" s="54"/>
      <c r="O136" s="80"/>
      <c r="P136" s="119" t="s">
        <v>101</v>
      </c>
      <c r="Q136" s="118"/>
      <c r="R136" s="118"/>
      <c r="S136" s="120">
        <f>[1]!b_stm07_cs(K107,61,L107,1)</f>
        <v>8551434830.21</v>
      </c>
      <c r="T136" s="121"/>
      <c r="U136" s="121"/>
    </row>
    <row r="137" spans="1:21" x14ac:dyDescent="0.25">
      <c r="L137" s="54" t="s">
        <v>102</v>
      </c>
      <c r="M137" s="75">
        <f>[1]!b_stm07_bs(K107,94,L107,1)</f>
        <v>12605592887.950001</v>
      </c>
      <c r="N137" s="54"/>
      <c r="O137" s="80"/>
      <c r="P137" s="119" t="s">
        <v>103</v>
      </c>
      <c r="Q137" s="118"/>
      <c r="R137" s="118"/>
      <c r="S137" s="120">
        <f>[1]!b_stm07_cs(K107,63,L107,1)</f>
        <v>1400000000</v>
      </c>
      <c r="T137" s="121"/>
      <c r="U137" s="121"/>
    </row>
    <row r="138" spans="1:21" x14ac:dyDescent="0.25">
      <c r="L138" s="54" t="s">
        <v>104</v>
      </c>
      <c r="M138" s="75">
        <f>[1]!b_stm07_bs(K107,95,L107,1)</f>
        <v>2984202740.6199999</v>
      </c>
      <c r="N138" s="54"/>
      <c r="O138" s="80"/>
      <c r="P138" s="119" t="s">
        <v>105</v>
      </c>
      <c r="Q138" s="118"/>
      <c r="R138" s="118"/>
      <c r="S138" s="122">
        <f>[1]!b_stm07_cs(K107,68,L107,1)</f>
        <v>10863767162.030001</v>
      </c>
      <c r="T138" s="121"/>
      <c r="U138" s="121"/>
    </row>
    <row r="139" spans="1:21" x14ac:dyDescent="0.25">
      <c r="L139" s="54" t="s">
        <v>106</v>
      </c>
      <c r="M139" s="81">
        <f>[1]!b_stm07_bs(K107,128,L107,1)</f>
        <v>25970427296.66</v>
      </c>
      <c r="N139" s="14"/>
      <c r="O139" s="13"/>
      <c r="P139" s="119" t="s">
        <v>107</v>
      </c>
      <c r="Q139" s="118"/>
      <c r="R139" s="118"/>
      <c r="S139" s="120">
        <f>[1]!b_stm07_cs(K107,69,L107,1)</f>
        <v>4297777691.0299997</v>
      </c>
      <c r="T139" s="121"/>
      <c r="U139" s="121"/>
    </row>
    <row r="140" spans="1:21" ht="21.6" customHeight="1" x14ac:dyDescent="0.25">
      <c r="L140" s="54" t="s">
        <v>108</v>
      </c>
      <c r="M140" s="81">
        <f>[1]!b_stm07_bs(K107,141,L107,1)</f>
        <v>14304535607.27</v>
      </c>
      <c r="N140" s="14"/>
      <c r="O140" s="13"/>
      <c r="P140" s="119" t="s">
        <v>109</v>
      </c>
      <c r="Q140" s="118"/>
      <c r="R140" s="118"/>
      <c r="S140" s="120">
        <f>[1]!b_stm07_cs(K107,75,L107,1)</f>
        <v>6535539397.3699999</v>
      </c>
      <c r="T140" s="121"/>
      <c r="U140" s="121"/>
    </row>
    <row r="141" spans="1:21" ht="21.6" customHeight="1" x14ac:dyDescent="0.25">
      <c r="L141" s="15" t="s">
        <v>110</v>
      </c>
      <c r="M141" s="81">
        <f>[1]!b_stm07_bs(K107,145,L107,1)</f>
        <v>40274962903.93</v>
      </c>
      <c r="N141" s="14"/>
      <c r="O141" s="13"/>
      <c r="P141" s="119" t="s">
        <v>111</v>
      </c>
      <c r="Q141" s="118"/>
      <c r="R141" s="118"/>
      <c r="S141" s="122">
        <f>[1]!b_stm07_cs(K107,77,L107,1)</f>
        <v>4328227764.6599998</v>
      </c>
      <c r="T141" s="121"/>
      <c r="U141" s="121"/>
    </row>
  </sheetData>
  <mergeCells count="89">
    <mergeCell ref="A3:G3"/>
    <mergeCell ref="B4:C4"/>
    <mergeCell ref="E4:G4"/>
    <mergeCell ref="B5:C5"/>
    <mergeCell ref="E5:G5"/>
    <mergeCell ref="B6:G6"/>
    <mergeCell ref="B7:E7"/>
    <mergeCell ref="B8:E8"/>
    <mergeCell ref="B9:E9"/>
    <mergeCell ref="B10:E10"/>
    <mergeCell ref="B11:E11"/>
    <mergeCell ref="A106:J106"/>
    <mergeCell ref="A107:F107"/>
    <mergeCell ref="G107:J107"/>
    <mergeCell ref="A108:B108"/>
    <mergeCell ref="C108:D108"/>
    <mergeCell ref="E108:F108"/>
    <mergeCell ref="G108:H108"/>
    <mergeCell ref="I108:J108"/>
    <mergeCell ref="A114:J114"/>
    <mergeCell ref="A115:F115"/>
    <mergeCell ref="G115:J115"/>
    <mergeCell ref="A116:B116"/>
    <mergeCell ref="C116:D116"/>
    <mergeCell ref="E116:J116"/>
    <mergeCell ref="E117:G117"/>
    <mergeCell ref="H117:J117"/>
    <mergeCell ref="E118:G118"/>
    <mergeCell ref="H118:J118"/>
    <mergeCell ref="E119:G119"/>
    <mergeCell ref="H119:J119"/>
    <mergeCell ref="E120:G120"/>
    <mergeCell ref="H120:J120"/>
    <mergeCell ref="E121:G121"/>
    <mergeCell ref="H121:J121"/>
    <mergeCell ref="E122:G122"/>
    <mergeCell ref="H122:J122"/>
    <mergeCell ref="E123:G123"/>
    <mergeCell ref="H123:J123"/>
    <mergeCell ref="E124:G124"/>
    <mergeCell ref="H124:J124"/>
    <mergeCell ref="E125:G125"/>
    <mergeCell ref="H125:J125"/>
    <mergeCell ref="E126:G126"/>
    <mergeCell ref="H126:J126"/>
    <mergeCell ref="L126:M126"/>
    <mergeCell ref="N126:O126"/>
    <mergeCell ref="P126:U126"/>
    <mergeCell ref="E127:G127"/>
    <mergeCell ref="H127:J127"/>
    <mergeCell ref="P127:R127"/>
    <mergeCell ref="S127:U127"/>
    <mergeCell ref="E128:G128"/>
    <mergeCell ref="H128:J128"/>
    <mergeCell ref="P128:R128"/>
    <mergeCell ref="S128:U128"/>
    <mergeCell ref="E129:G129"/>
    <mergeCell ref="H129:J129"/>
    <mergeCell ref="P129:R129"/>
    <mergeCell ref="S129:U129"/>
    <mergeCell ref="E130:G130"/>
    <mergeCell ref="H130:J130"/>
    <mergeCell ref="P130:R130"/>
    <mergeCell ref="S130:U130"/>
    <mergeCell ref="E131:G131"/>
    <mergeCell ref="H131:J131"/>
    <mergeCell ref="P131:R131"/>
    <mergeCell ref="S131:U131"/>
    <mergeCell ref="P132:R132"/>
    <mergeCell ref="S132:U132"/>
    <mergeCell ref="P141:R141"/>
    <mergeCell ref="S141:U141"/>
    <mergeCell ref="P136:R136"/>
    <mergeCell ref="S136:U136"/>
    <mergeCell ref="P137:R137"/>
    <mergeCell ref="S137:U137"/>
    <mergeCell ref="P138:R138"/>
    <mergeCell ref="S138:U138"/>
    <mergeCell ref="K15:K29"/>
    <mergeCell ref="P139:R139"/>
    <mergeCell ref="S139:U139"/>
    <mergeCell ref="P140:R140"/>
    <mergeCell ref="S140:U140"/>
    <mergeCell ref="P133:R133"/>
    <mergeCell ref="S133:U133"/>
    <mergeCell ref="P134:R134"/>
    <mergeCell ref="S134:U134"/>
    <mergeCell ref="P135:R135"/>
    <mergeCell ref="S135:U13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tabSelected="1" workbookViewId="0">
      <selection activeCell="B4" sqref="B4:G4"/>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43" t="s">
        <v>1</v>
      </c>
      <c r="B1" s="128"/>
      <c r="C1" s="128"/>
      <c r="D1" s="128"/>
      <c r="E1" s="128"/>
      <c r="F1" s="128"/>
      <c r="G1" s="128"/>
    </row>
    <row r="2" spans="1:12" ht="13.5" customHeight="1" x14ac:dyDescent="0.25">
      <c r="A2" s="57" t="s">
        <v>2</v>
      </c>
      <c r="B2" s="138" t="s">
        <v>259</v>
      </c>
      <c r="C2" s="133"/>
      <c r="D2" s="57" t="s">
        <v>3</v>
      </c>
      <c r="E2" s="138" t="s">
        <v>260</v>
      </c>
      <c r="F2" s="133"/>
      <c r="G2" s="133"/>
    </row>
    <row r="3" spans="1:12" ht="14.25" customHeight="1" x14ac:dyDescent="0.25">
      <c r="A3" s="57" t="s">
        <v>4</v>
      </c>
      <c r="B3" s="138" t="s">
        <v>261</v>
      </c>
      <c r="C3" s="133"/>
      <c r="D3" s="57" t="s">
        <v>5</v>
      </c>
      <c r="E3" s="138" t="s">
        <v>262</v>
      </c>
      <c r="F3" s="133"/>
      <c r="G3" s="133"/>
    </row>
    <row r="4" spans="1:12" ht="113.25" customHeight="1" x14ac:dyDescent="0.25">
      <c r="A4" s="57" t="s">
        <v>6</v>
      </c>
      <c r="B4" s="136" t="s">
        <v>263</v>
      </c>
      <c r="C4" s="133"/>
      <c r="D4" s="133"/>
      <c r="E4" s="133"/>
      <c r="F4" s="133"/>
      <c r="G4" s="133"/>
    </row>
    <row r="5" spans="1:12" ht="14.4" x14ac:dyDescent="0.25">
      <c r="A5" s="82" t="s">
        <v>112</v>
      </c>
      <c r="B5" s="141" t="s">
        <v>264</v>
      </c>
      <c r="C5" s="133"/>
      <c r="D5" s="133"/>
      <c r="E5" s="133"/>
      <c r="F5" s="142">
        <v>0.80319999694824218</v>
      </c>
      <c r="G5" s="133"/>
    </row>
    <row r="6" spans="1:12" ht="11.25" customHeight="1" x14ac:dyDescent="0.25">
      <c r="A6" s="82" t="s">
        <v>113</v>
      </c>
      <c r="B6" s="141" t="s">
        <v>265</v>
      </c>
      <c r="C6" s="133"/>
      <c r="D6" s="133"/>
      <c r="E6" s="133"/>
      <c r="F6" s="142">
        <v>5.4699997901916507E-2</v>
      </c>
      <c r="G6" s="133"/>
    </row>
    <row r="7" spans="1:12" ht="11.25" customHeight="1" x14ac:dyDescent="0.25">
      <c r="A7" s="82" t="s">
        <v>114</v>
      </c>
      <c r="B7" s="141" t="s">
        <v>266</v>
      </c>
      <c r="C7" s="133"/>
      <c r="D7" s="133"/>
      <c r="E7" s="133"/>
      <c r="F7" s="142">
        <v>2.7300000190734863E-2</v>
      </c>
      <c r="G7" s="133"/>
    </row>
    <row r="8" spans="1:12" ht="11.25" customHeight="1" x14ac:dyDescent="0.25">
      <c r="A8" s="82" t="s">
        <v>115</v>
      </c>
      <c r="B8" s="141" t="s">
        <v>267</v>
      </c>
      <c r="C8" s="133"/>
      <c r="D8" s="133"/>
      <c r="E8" s="133"/>
      <c r="F8" s="142">
        <v>2.7300000190734863E-2</v>
      </c>
      <c r="G8" s="133"/>
    </row>
    <row r="9" spans="1:12" ht="11.25" customHeight="1" x14ac:dyDescent="0.25">
      <c r="A9" s="82" t="s">
        <v>116</v>
      </c>
      <c r="B9" s="141" t="s">
        <v>268</v>
      </c>
      <c r="C9" s="133"/>
      <c r="D9" s="133"/>
      <c r="E9" s="133"/>
      <c r="F9" s="142">
        <v>1.3700000047683715E-2</v>
      </c>
      <c r="G9" s="133"/>
    </row>
    <row r="11" spans="1:12" ht="14.4" customHeight="1" x14ac:dyDescent="0.25">
      <c r="A11" s="140" t="s">
        <v>117</v>
      </c>
      <c r="B11" s="133"/>
      <c r="C11" s="133"/>
      <c r="D11" s="133"/>
      <c r="E11" s="133"/>
      <c r="F11" s="133"/>
      <c r="G11" s="133"/>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118</v>
      </c>
      <c r="B13" t="s">
        <v>119</v>
      </c>
      <c r="C13" t="s">
        <v>120</v>
      </c>
      <c r="D13" s="64">
        <v>5.05</v>
      </c>
      <c r="E13" s="64">
        <v>4.8907103825136611</v>
      </c>
      <c r="F13" s="65">
        <v>0</v>
      </c>
      <c r="G13" s="64">
        <v>7</v>
      </c>
    </row>
    <row r="14" spans="1:12" ht="14.4" customHeight="1" x14ac:dyDescent="0.25">
      <c r="A14" t="s">
        <v>121</v>
      </c>
      <c r="B14" t="s">
        <v>122</v>
      </c>
      <c r="C14" t="s">
        <v>123</v>
      </c>
      <c r="D14" s="64">
        <v>5.27</v>
      </c>
      <c r="E14" s="83">
        <v>4.7013698630136984</v>
      </c>
      <c r="F14">
        <v>0</v>
      </c>
      <c r="G14" s="64">
        <v>3</v>
      </c>
    </row>
    <row r="15" spans="1:12" ht="14.4" customHeight="1" x14ac:dyDescent="0.25">
      <c r="A15" t="s">
        <v>124</v>
      </c>
      <c r="B15" t="s">
        <v>125</v>
      </c>
      <c r="C15" t="s">
        <v>126</v>
      </c>
      <c r="D15" s="64">
        <v>6.1</v>
      </c>
      <c r="E15" s="83">
        <v>4.4794520547945202</v>
      </c>
      <c r="F15" t="s">
        <v>25</v>
      </c>
      <c r="G15" s="64">
        <v>10</v>
      </c>
    </row>
    <row r="16" spans="1:12" ht="14.4" customHeight="1" x14ac:dyDescent="0.25">
      <c r="A16" t="s">
        <v>127</v>
      </c>
      <c r="B16" t="s">
        <v>128</v>
      </c>
      <c r="C16" t="s">
        <v>129</v>
      </c>
      <c r="D16" s="64">
        <v>5.83</v>
      </c>
      <c r="E16" s="83">
        <v>3.9480874316939891</v>
      </c>
      <c r="F16" t="s">
        <v>25</v>
      </c>
      <c r="G16" s="64">
        <v>8</v>
      </c>
    </row>
    <row r="17" spans="1:7" ht="14.4" customHeight="1" x14ac:dyDescent="0.25">
      <c r="A17" t="s">
        <v>130</v>
      </c>
      <c r="B17" t="s">
        <v>131</v>
      </c>
      <c r="C17" t="s">
        <v>132</v>
      </c>
      <c r="D17" s="64">
        <v>5.78</v>
      </c>
      <c r="E17" s="83">
        <v>0</v>
      </c>
      <c r="F17" t="s">
        <v>269</v>
      </c>
      <c r="G17" s="64">
        <v>14</v>
      </c>
    </row>
    <row r="18" spans="1:7" ht="14.4" customHeight="1" x14ac:dyDescent="0.25">
      <c r="A18" t="s">
        <v>133</v>
      </c>
      <c r="B18" t="s">
        <v>134</v>
      </c>
      <c r="C18" t="s">
        <v>135</v>
      </c>
      <c r="D18" s="64">
        <v>6.2</v>
      </c>
      <c r="E18" s="83">
        <v>3.043835616438356</v>
      </c>
      <c r="F18" t="s">
        <v>25</v>
      </c>
      <c r="G18" s="64">
        <v>5</v>
      </c>
    </row>
    <row r="19" spans="1:7" ht="14.4" customHeight="1" x14ac:dyDescent="0.25">
      <c r="A19" t="s">
        <v>136</v>
      </c>
      <c r="B19" t="s">
        <v>137</v>
      </c>
      <c r="C19" t="s">
        <v>138</v>
      </c>
      <c r="D19" s="64">
        <v>3.9</v>
      </c>
      <c r="E19" s="83">
        <v>0.56712328767123288</v>
      </c>
      <c r="F19">
        <v>0</v>
      </c>
      <c r="G19" s="64">
        <v>8</v>
      </c>
    </row>
    <row r="20" spans="1:7" ht="14.4" customHeight="1" x14ac:dyDescent="0.25">
      <c r="A20" t="s">
        <v>139</v>
      </c>
      <c r="B20" t="s">
        <v>140</v>
      </c>
      <c r="C20" t="s">
        <v>141</v>
      </c>
      <c r="D20" s="64">
        <v>4.5199999999999996</v>
      </c>
      <c r="E20" s="83">
        <v>2.2438356164383562</v>
      </c>
      <c r="F20" t="s">
        <v>25</v>
      </c>
      <c r="G20" s="64">
        <v>15</v>
      </c>
    </row>
    <row r="21" spans="1:7" ht="14.4" customHeight="1" x14ac:dyDescent="0.25">
      <c r="A21" t="s">
        <v>142</v>
      </c>
      <c r="B21" t="s">
        <v>143</v>
      </c>
      <c r="C21" t="s">
        <v>144</v>
      </c>
      <c r="D21" s="64">
        <v>4.2</v>
      </c>
      <c r="E21" s="83">
        <v>4.1671232876712327</v>
      </c>
      <c r="F21" t="s">
        <v>25</v>
      </c>
      <c r="G21" s="64">
        <v>5</v>
      </c>
    </row>
    <row r="22" spans="1:7" ht="14.4" customHeight="1" x14ac:dyDescent="0.25">
      <c r="A22" t="s">
        <v>145</v>
      </c>
      <c r="B22" t="s">
        <v>143</v>
      </c>
      <c r="C22" t="s">
        <v>146</v>
      </c>
      <c r="D22" s="64">
        <v>4.2</v>
      </c>
      <c r="E22" s="83">
        <v>4.1671232876712327</v>
      </c>
      <c r="F22" t="s">
        <v>25</v>
      </c>
      <c r="G22" s="64">
        <v>5</v>
      </c>
    </row>
    <row r="23" spans="1:7" ht="14.4" customHeight="1" x14ac:dyDescent="0.25">
      <c r="A23" t="s">
        <v>147</v>
      </c>
      <c r="B23" t="s">
        <v>148</v>
      </c>
      <c r="C23" t="s">
        <v>149</v>
      </c>
      <c r="D23" s="64">
        <v>4.6100000000000003</v>
      </c>
      <c r="E23" s="83">
        <v>2.0520547945205481</v>
      </c>
      <c r="F23" t="s">
        <v>25</v>
      </c>
      <c r="G23" s="64">
        <v>4</v>
      </c>
    </row>
    <row r="24" spans="1:7" ht="14.4" customHeight="1" x14ac:dyDescent="0.25">
      <c r="A24" t="s">
        <v>150</v>
      </c>
      <c r="B24" t="s">
        <v>151</v>
      </c>
      <c r="C24" t="s">
        <v>152</v>
      </c>
      <c r="D24" s="64">
        <v>3.36</v>
      </c>
      <c r="E24" s="83">
        <v>0</v>
      </c>
      <c r="F24" t="s">
        <v>269</v>
      </c>
      <c r="G24" s="64">
        <v>6</v>
      </c>
    </row>
    <row r="25" spans="1:7" ht="14.4" customHeight="1" x14ac:dyDescent="0.25">
      <c r="A25" t="s">
        <v>153</v>
      </c>
      <c r="B25" t="s">
        <v>154</v>
      </c>
      <c r="C25" t="s">
        <v>155</v>
      </c>
      <c r="D25" s="64">
        <v>3.85</v>
      </c>
      <c r="E25" s="83">
        <v>0</v>
      </c>
      <c r="F25" t="s">
        <v>269</v>
      </c>
      <c r="G25" s="64">
        <v>4</v>
      </c>
    </row>
    <row r="26" spans="1:7" ht="14.4" customHeight="1" x14ac:dyDescent="0.25">
      <c r="A26" t="s">
        <v>156</v>
      </c>
      <c r="B26" t="s">
        <v>157</v>
      </c>
      <c r="C26" t="s">
        <v>158</v>
      </c>
      <c r="D26" s="64">
        <v>5.4</v>
      </c>
      <c r="E26" s="83">
        <v>0</v>
      </c>
      <c r="F26" t="s">
        <v>269</v>
      </c>
      <c r="G26" s="64">
        <v>6</v>
      </c>
    </row>
    <row r="27" spans="1:7" ht="14.4" customHeight="1" x14ac:dyDescent="0.25">
      <c r="A27" t="s">
        <v>159</v>
      </c>
      <c r="B27" t="s">
        <v>160</v>
      </c>
      <c r="C27" t="s">
        <v>161</v>
      </c>
      <c r="D27" s="64">
        <v>6.7</v>
      </c>
      <c r="E27" s="83">
        <v>0</v>
      </c>
      <c r="F27">
        <v>0</v>
      </c>
      <c r="G27" s="64">
        <v>12</v>
      </c>
    </row>
    <row r="28" spans="1:7" ht="14.4" customHeight="1" x14ac:dyDescent="0.25">
      <c r="A28" t="s">
        <v>162</v>
      </c>
      <c r="B28" t="s">
        <v>163</v>
      </c>
      <c r="C28" t="s">
        <v>164</v>
      </c>
      <c r="D28" s="64">
        <v>4.72</v>
      </c>
      <c r="E28" s="83">
        <v>0</v>
      </c>
      <c r="F28" t="s">
        <v>269</v>
      </c>
      <c r="G28" s="64">
        <v>4</v>
      </c>
    </row>
    <row r="29" spans="1:7" ht="14.4" customHeight="1" x14ac:dyDescent="0.25">
      <c r="A29" t="s">
        <v>165</v>
      </c>
      <c r="B29" t="s">
        <v>166</v>
      </c>
      <c r="C29" t="s">
        <v>167</v>
      </c>
      <c r="D29" s="64">
        <v>6.7</v>
      </c>
      <c r="E29" s="83">
        <v>0.16986301369863013</v>
      </c>
      <c r="F29" t="s">
        <v>25</v>
      </c>
      <c r="G29" s="64">
        <v>5</v>
      </c>
    </row>
    <row r="30" spans="1:7" ht="14.4" customHeight="1" x14ac:dyDescent="0.25">
      <c r="A30" t="s">
        <v>168</v>
      </c>
      <c r="B30" t="s">
        <v>169</v>
      </c>
      <c r="C30" t="s">
        <v>170</v>
      </c>
      <c r="D30" s="64">
        <v>6</v>
      </c>
      <c r="E30" s="83">
        <v>0</v>
      </c>
      <c r="F30" t="s">
        <v>269</v>
      </c>
      <c r="G30" s="64">
        <v>6</v>
      </c>
    </row>
    <row r="31" spans="1:7" ht="14.4" customHeight="1" x14ac:dyDescent="0.25">
      <c r="A31" t="s">
        <v>171</v>
      </c>
      <c r="B31" t="s">
        <v>172</v>
      </c>
      <c r="C31" t="s">
        <v>173</v>
      </c>
      <c r="D31" s="64">
        <v>6.88</v>
      </c>
      <c r="E31" s="83">
        <v>0.53698630136986303</v>
      </c>
      <c r="F31" t="s">
        <v>25</v>
      </c>
      <c r="G31" s="64">
        <v>8</v>
      </c>
    </row>
    <row r="32" spans="1:7" ht="14.4" customHeight="1" x14ac:dyDescent="0.25">
      <c r="A32" t="s">
        <v>174</v>
      </c>
      <c r="B32" t="s">
        <v>172</v>
      </c>
      <c r="C32" t="s">
        <v>175</v>
      </c>
      <c r="D32" s="64">
        <v>6.88</v>
      </c>
      <c r="E32" s="83">
        <v>0.53698630136986303</v>
      </c>
      <c r="F32" t="s">
        <v>25</v>
      </c>
      <c r="G32" s="64">
        <v>8</v>
      </c>
    </row>
    <row r="33" spans="1:7" ht="14.4" customHeight="1" x14ac:dyDescent="0.25">
      <c r="D33" s="64"/>
      <c r="E33" s="83"/>
      <c r="G33" s="64"/>
    </row>
    <row r="34" spans="1:7" ht="14.4" customHeight="1" x14ac:dyDescent="0.25">
      <c r="D34" s="64"/>
      <c r="E34" s="83"/>
      <c r="G34" s="64"/>
    </row>
    <row r="35" spans="1:7" ht="14.4" customHeight="1" x14ac:dyDescent="0.25">
      <c r="D35" s="64"/>
      <c r="E35" s="83"/>
      <c r="G35" s="64"/>
    </row>
    <row r="36" spans="1:7" ht="14.4" customHeight="1" x14ac:dyDescent="0.25">
      <c r="D36" s="64"/>
      <c r="E36" s="83"/>
      <c r="G36" s="64"/>
    </row>
    <row r="37" spans="1:7" ht="14.4" customHeight="1" x14ac:dyDescent="0.25">
      <c r="D37" s="64"/>
      <c r="E37" s="83"/>
      <c r="G37" s="64"/>
    </row>
    <row r="38" spans="1:7" ht="14.4" customHeight="1" x14ac:dyDescent="0.25">
      <c r="A38" s="139" t="s">
        <v>176</v>
      </c>
      <c r="B38" s="139"/>
      <c r="C38" s="139"/>
      <c r="D38" s="139"/>
      <c r="E38" s="83"/>
      <c r="G38" s="64"/>
    </row>
    <row r="39" spans="1:7" ht="14.4" customHeight="1" x14ac:dyDescent="0.25">
      <c r="A39" s="84" t="s">
        <v>177</v>
      </c>
      <c r="B39" s="84" t="s">
        <v>178</v>
      </c>
      <c r="C39" s="84" t="s">
        <v>179</v>
      </c>
      <c r="D39" s="85" t="s">
        <v>180</v>
      </c>
      <c r="E39" s="83"/>
      <c r="G39" s="64"/>
    </row>
    <row r="40" spans="1:7" ht="14.4" customHeight="1" x14ac:dyDescent="0.25">
      <c r="A40" t="s">
        <v>122</v>
      </c>
      <c r="B40" t="s">
        <v>25</v>
      </c>
      <c r="C40" t="s">
        <v>181</v>
      </c>
      <c r="D40" s="64" t="s">
        <v>182</v>
      </c>
      <c r="E40" s="83"/>
      <c r="G40" s="64"/>
    </row>
    <row r="41" spans="1:7" ht="14.4" customHeight="1" x14ac:dyDescent="0.25">
      <c r="A41" t="s">
        <v>125</v>
      </c>
      <c r="B41" t="s">
        <v>25</v>
      </c>
      <c r="C41" t="s">
        <v>181</v>
      </c>
      <c r="D41" s="64" t="s">
        <v>183</v>
      </c>
      <c r="E41" s="83"/>
      <c r="G41" s="64"/>
    </row>
    <row r="42" spans="1:7" ht="14.4" customHeight="1" x14ac:dyDescent="0.25">
      <c r="A42" t="s">
        <v>184</v>
      </c>
      <c r="B42" t="s">
        <v>25</v>
      </c>
      <c r="C42" t="s">
        <v>181</v>
      </c>
      <c r="D42" s="64" t="s">
        <v>182</v>
      </c>
      <c r="E42" s="83"/>
      <c r="G42" s="64"/>
    </row>
    <row r="43" spans="1:7" ht="14.4" customHeight="1" x14ac:dyDescent="0.25">
      <c r="A43" t="s">
        <v>185</v>
      </c>
      <c r="B43" t="s">
        <v>25</v>
      </c>
      <c r="C43" t="s">
        <v>181</v>
      </c>
      <c r="D43" s="64" t="s">
        <v>182</v>
      </c>
      <c r="E43" s="83"/>
      <c r="G43" s="64"/>
    </row>
    <row r="44" spans="1:7" ht="14.4" customHeight="1" x14ac:dyDescent="0.25">
      <c r="A44" t="s">
        <v>186</v>
      </c>
      <c r="B44" t="s">
        <v>25</v>
      </c>
      <c r="C44" t="s">
        <v>181</v>
      </c>
      <c r="D44" s="64" t="s">
        <v>182</v>
      </c>
      <c r="E44" s="83"/>
      <c r="G44" s="64"/>
    </row>
    <row r="45" spans="1:7" ht="14.4" customHeight="1" x14ac:dyDescent="0.25">
      <c r="A45" t="s">
        <v>187</v>
      </c>
      <c r="B45" t="s">
        <v>25</v>
      </c>
      <c r="C45" t="s">
        <v>181</v>
      </c>
      <c r="D45" s="64" t="s">
        <v>182</v>
      </c>
      <c r="E45" s="83"/>
      <c r="G45" s="64"/>
    </row>
    <row r="46" spans="1:7" ht="14.4" customHeight="1" x14ac:dyDescent="0.25">
      <c r="A46" t="s">
        <v>188</v>
      </c>
      <c r="B46" t="s">
        <v>25</v>
      </c>
      <c r="C46" t="s">
        <v>181</v>
      </c>
      <c r="D46" s="64" t="s">
        <v>182</v>
      </c>
      <c r="E46" s="83"/>
      <c r="G46" s="64"/>
    </row>
    <row r="47" spans="1:7" ht="14.4" customHeight="1" x14ac:dyDescent="0.25">
      <c r="A47" t="s">
        <v>189</v>
      </c>
      <c r="B47" t="s">
        <v>25</v>
      </c>
      <c r="C47" t="s">
        <v>181</v>
      </c>
      <c r="D47" s="64" t="s">
        <v>182</v>
      </c>
      <c r="E47" s="83"/>
      <c r="G47" s="64"/>
    </row>
    <row r="48" spans="1:7" ht="14.4" customHeight="1" x14ac:dyDescent="0.25">
      <c r="A48" t="s">
        <v>190</v>
      </c>
      <c r="B48" t="s">
        <v>25</v>
      </c>
      <c r="C48" t="s">
        <v>181</v>
      </c>
      <c r="D48" s="64" t="s">
        <v>182</v>
      </c>
      <c r="E48" s="83"/>
      <c r="G48" s="64"/>
    </row>
    <row r="49" spans="1:7" ht="14.4" customHeight="1" x14ac:dyDescent="0.25">
      <c r="A49" t="s">
        <v>191</v>
      </c>
      <c r="B49" t="s">
        <v>25</v>
      </c>
      <c r="C49" t="s">
        <v>181</v>
      </c>
      <c r="D49" s="64" t="s">
        <v>182</v>
      </c>
      <c r="E49" s="83"/>
      <c r="G49" s="64"/>
    </row>
    <row r="50" spans="1:7" ht="14.4" customHeight="1" x14ac:dyDescent="0.25">
      <c r="A50" t="s">
        <v>192</v>
      </c>
      <c r="B50" t="s">
        <v>25</v>
      </c>
      <c r="C50" t="s">
        <v>181</v>
      </c>
      <c r="D50" s="64" t="s">
        <v>182</v>
      </c>
      <c r="E50" s="83"/>
      <c r="G50" s="64"/>
    </row>
    <row r="51" spans="1:7" ht="14.4" customHeight="1" x14ac:dyDescent="0.25">
      <c r="A51" t="s">
        <v>193</v>
      </c>
      <c r="B51" t="s">
        <v>25</v>
      </c>
      <c r="C51" t="s">
        <v>181</v>
      </c>
      <c r="D51" s="64" t="s">
        <v>182</v>
      </c>
      <c r="E51" s="83"/>
      <c r="G51" s="64"/>
    </row>
    <row r="52" spans="1:7" ht="14.4" customHeight="1" x14ac:dyDescent="0.25">
      <c r="A52" t="s">
        <v>194</v>
      </c>
      <c r="B52" t="s">
        <v>25</v>
      </c>
      <c r="C52" t="s">
        <v>181</v>
      </c>
      <c r="D52" s="64" t="s">
        <v>182</v>
      </c>
      <c r="E52" s="83"/>
      <c r="G52" s="64"/>
    </row>
    <row r="53" spans="1:7" ht="14.4" customHeight="1" x14ac:dyDescent="0.25">
      <c r="A53" t="s">
        <v>195</v>
      </c>
      <c r="B53" t="s">
        <v>25</v>
      </c>
      <c r="C53" t="s">
        <v>181</v>
      </c>
      <c r="D53" s="64" t="s">
        <v>182</v>
      </c>
      <c r="E53" s="83"/>
      <c r="G53" s="64"/>
    </row>
    <row r="54" spans="1:7" ht="14.4" customHeight="1" x14ac:dyDescent="0.25">
      <c r="A54" t="s">
        <v>196</v>
      </c>
      <c r="B54" t="s">
        <v>197</v>
      </c>
      <c r="C54" t="s">
        <v>181</v>
      </c>
      <c r="D54" s="64" t="s">
        <v>182</v>
      </c>
      <c r="E54" s="83"/>
      <c r="G54" s="64"/>
    </row>
    <row r="55" spans="1:7" ht="14.4" customHeight="1" x14ac:dyDescent="0.25">
      <c r="A55" t="s">
        <v>198</v>
      </c>
      <c r="B55" t="s">
        <v>197</v>
      </c>
      <c r="C55" t="s">
        <v>181</v>
      </c>
      <c r="D55" s="64" t="s">
        <v>182</v>
      </c>
      <c r="E55" s="83"/>
      <c r="G55" s="64"/>
    </row>
    <row r="56" spans="1:7" ht="14.4" customHeight="1" x14ac:dyDescent="0.25">
      <c r="A56" t="s">
        <v>199</v>
      </c>
      <c r="B56" t="s">
        <v>197</v>
      </c>
      <c r="C56" t="s">
        <v>181</v>
      </c>
      <c r="D56" s="64" t="s">
        <v>182</v>
      </c>
      <c r="E56" s="83"/>
      <c r="G56" s="64"/>
    </row>
    <row r="57" spans="1:7" ht="14.4" customHeight="1" x14ac:dyDescent="0.25">
      <c r="A57" t="s">
        <v>200</v>
      </c>
      <c r="B57" t="s">
        <v>197</v>
      </c>
      <c r="C57" t="s">
        <v>181</v>
      </c>
      <c r="D57" s="64" t="s">
        <v>182</v>
      </c>
      <c r="E57" s="83"/>
      <c r="G57" s="64"/>
    </row>
    <row r="58" spans="1:7" ht="14.4" customHeight="1" x14ac:dyDescent="0.25">
      <c r="A58" t="s">
        <v>201</v>
      </c>
      <c r="B58" t="s">
        <v>197</v>
      </c>
      <c r="C58" t="s">
        <v>181</v>
      </c>
      <c r="D58" s="64" t="s">
        <v>182</v>
      </c>
      <c r="E58" s="83"/>
      <c r="G58" s="64"/>
    </row>
    <row r="59" spans="1:7" ht="14.4" customHeight="1" x14ac:dyDescent="0.25">
      <c r="A59" t="s">
        <v>202</v>
      </c>
      <c r="B59" t="s">
        <v>197</v>
      </c>
      <c r="C59" t="s">
        <v>181</v>
      </c>
      <c r="D59" s="64" t="s">
        <v>182</v>
      </c>
      <c r="E59" s="83"/>
      <c r="G59" s="64"/>
    </row>
    <row r="60" spans="1:7" ht="14.4" customHeight="1" x14ac:dyDescent="0.25">
      <c r="A60" t="s">
        <v>203</v>
      </c>
      <c r="B60" t="s">
        <v>197</v>
      </c>
      <c r="C60" t="s">
        <v>181</v>
      </c>
      <c r="D60" s="64" t="s">
        <v>182</v>
      </c>
      <c r="E60" s="83"/>
      <c r="G60" s="64"/>
    </row>
    <row r="61" spans="1:7" ht="14.4" customHeight="1" x14ac:dyDescent="0.25">
      <c r="A61" t="s">
        <v>204</v>
      </c>
      <c r="B61" t="s">
        <v>197</v>
      </c>
      <c r="C61" t="s">
        <v>181</v>
      </c>
      <c r="D61" s="64" t="s">
        <v>182</v>
      </c>
      <c r="E61" s="83"/>
      <c r="G61" s="64"/>
    </row>
    <row r="62" spans="1:7" ht="14.4" customHeight="1" x14ac:dyDescent="0.25">
      <c r="A62" t="s">
        <v>205</v>
      </c>
      <c r="B62" t="s">
        <v>197</v>
      </c>
      <c r="C62" t="s">
        <v>181</v>
      </c>
      <c r="D62" s="64" t="s">
        <v>182</v>
      </c>
      <c r="E62" s="83"/>
      <c r="G62" s="64"/>
    </row>
    <row r="63" spans="1:7" ht="14.4" customHeight="1" x14ac:dyDescent="0.25">
      <c r="A63" t="s">
        <v>206</v>
      </c>
      <c r="B63" t="s">
        <v>197</v>
      </c>
      <c r="C63" t="s">
        <v>181</v>
      </c>
      <c r="D63" s="64" t="s">
        <v>182</v>
      </c>
      <c r="E63" s="83"/>
      <c r="G63" s="64"/>
    </row>
    <row r="64" spans="1:7" ht="14.4" customHeight="1" x14ac:dyDescent="0.25">
      <c r="A64" t="s">
        <v>207</v>
      </c>
      <c r="B64" t="s">
        <v>197</v>
      </c>
      <c r="C64" t="s">
        <v>181</v>
      </c>
      <c r="D64" s="64" t="s">
        <v>182</v>
      </c>
      <c r="E64" s="83"/>
      <c r="G64" s="64"/>
    </row>
    <row r="65" spans="1:7" ht="14.4" customHeight="1" x14ac:dyDescent="0.25">
      <c r="A65" t="s">
        <v>208</v>
      </c>
      <c r="B65" t="s">
        <v>197</v>
      </c>
      <c r="C65" t="s">
        <v>181</v>
      </c>
      <c r="D65" s="64" t="s">
        <v>182</v>
      </c>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209</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1:G1"/>
    <mergeCell ref="B2:C2"/>
    <mergeCell ref="E2:G2"/>
    <mergeCell ref="B3:C3"/>
    <mergeCell ref="E3:G3"/>
    <mergeCell ref="B4:G4"/>
    <mergeCell ref="B5:E5"/>
    <mergeCell ref="F5:G5"/>
    <mergeCell ref="B6:E6"/>
    <mergeCell ref="F6:G6"/>
    <mergeCell ref="A38:D38"/>
    <mergeCell ref="A11:G11"/>
    <mergeCell ref="B7:E7"/>
    <mergeCell ref="F7:G7"/>
    <mergeCell ref="B8:E8"/>
    <mergeCell ref="F8:G8"/>
    <mergeCell ref="B9:E9"/>
    <mergeCell ref="F9:G9"/>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activeCell="D16" sqref="D1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6" t="s">
        <v>51</v>
      </c>
      <c r="B1" s="133"/>
      <c r="C1" s="133"/>
      <c r="D1" s="133"/>
      <c r="E1" s="133"/>
      <c r="F1" s="133"/>
      <c r="G1" s="133"/>
      <c r="H1" s="133"/>
      <c r="I1" s="133"/>
      <c r="J1" s="133"/>
    </row>
    <row r="2" spans="1:10" x14ac:dyDescent="0.25">
      <c r="A2" s="140" t="s">
        <v>52</v>
      </c>
      <c r="B2" s="133"/>
      <c r="C2" s="133"/>
      <c r="D2" s="133"/>
      <c r="E2" s="133"/>
      <c r="F2" s="133"/>
      <c r="G2" s="148">
        <v>2017</v>
      </c>
      <c r="H2" s="133"/>
      <c r="I2" s="133"/>
      <c r="J2" s="133"/>
    </row>
    <row r="3" spans="1:10" ht="12.75" customHeight="1" x14ac:dyDescent="0.25">
      <c r="A3" s="140" t="s">
        <v>53</v>
      </c>
      <c r="B3" s="133"/>
      <c r="C3" s="140" t="s">
        <v>54</v>
      </c>
      <c r="D3" s="133"/>
      <c r="E3" s="140" t="s">
        <v>55</v>
      </c>
      <c r="F3" s="133"/>
      <c r="G3" s="140" t="s">
        <v>56</v>
      </c>
      <c r="H3" s="133"/>
      <c r="I3" s="140" t="s">
        <v>57</v>
      </c>
      <c r="J3" s="133"/>
    </row>
    <row r="4" spans="1:10" ht="21.6" customHeight="1" x14ac:dyDescent="0.25">
      <c r="A4" s="57" t="s">
        <v>58</v>
      </c>
      <c r="B4" s="86">
        <v>0.64482799999999996</v>
      </c>
      <c r="C4" s="57" t="s">
        <v>34</v>
      </c>
      <c r="D4" s="87">
        <v>2.1282999999999999</v>
      </c>
      <c r="E4" s="57" t="s">
        <v>38</v>
      </c>
      <c r="F4" s="86">
        <v>1.1866000000000001</v>
      </c>
      <c r="G4" s="57" t="s">
        <v>39</v>
      </c>
      <c r="H4" s="86">
        <v>0.143008</v>
      </c>
      <c r="I4" s="57"/>
      <c r="J4" s="88"/>
    </row>
    <row r="5" spans="1:10" ht="15.75" customHeight="1" x14ac:dyDescent="0.25">
      <c r="A5" s="57" t="s">
        <v>59</v>
      </c>
      <c r="B5" s="86">
        <v>0.45586100000000002</v>
      </c>
      <c r="C5" s="57" t="s">
        <v>60</v>
      </c>
      <c r="D5" s="87">
        <v>1.0354000000000001</v>
      </c>
      <c r="E5" s="57" t="s">
        <v>61</v>
      </c>
      <c r="F5" s="87">
        <v>8.5434999999999999</v>
      </c>
      <c r="G5" s="57" t="s">
        <v>62</v>
      </c>
      <c r="H5" s="86">
        <v>-9.5329999999999998E-3</v>
      </c>
      <c r="I5" s="57"/>
      <c r="J5" s="88"/>
    </row>
    <row r="6" spans="1:10" ht="15" customHeight="1" x14ac:dyDescent="0.25">
      <c r="A6" s="57" t="s">
        <v>63</v>
      </c>
      <c r="B6" s="86">
        <v>0.33216099999999998</v>
      </c>
      <c r="C6" s="57" t="s">
        <v>36</v>
      </c>
      <c r="D6" s="89">
        <v>2.2800000000000001E-2</v>
      </c>
      <c r="E6" s="57" t="s">
        <v>64</v>
      </c>
      <c r="F6" s="87">
        <v>0.62649999999999995</v>
      </c>
      <c r="G6" s="57" t="s">
        <v>42</v>
      </c>
      <c r="H6" s="86">
        <v>4.7099999999999998E-3</v>
      </c>
      <c r="I6" s="57"/>
      <c r="J6" s="88"/>
    </row>
    <row r="7" spans="1:10" ht="14.25" customHeight="1" x14ac:dyDescent="0.25">
      <c r="A7" s="57" t="s">
        <v>35</v>
      </c>
      <c r="B7" s="89">
        <v>1.335439016555096</v>
      </c>
      <c r="C7" s="57" t="s">
        <v>65</v>
      </c>
      <c r="D7" s="89">
        <v>1.6783999999999999</v>
      </c>
      <c r="E7" s="57" t="s">
        <v>66</v>
      </c>
      <c r="F7" s="87">
        <v>0.34589999999999999</v>
      </c>
      <c r="G7" s="57" t="s">
        <v>67</v>
      </c>
      <c r="H7" s="86">
        <v>8.5690000000000002E-3</v>
      </c>
      <c r="I7" s="57"/>
      <c r="J7" s="88"/>
    </row>
    <row r="8" spans="1:10" x14ac:dyDescent="0.25">
      <c r="A8" s="57"/>
      <c r="B8" s="90"/>
      <c r="C8" s="57"/>
      <c r="D8" s="91"/>
      <c r="E8" s="57" t="s">
        <v>68</v>
      </c>
      <c r="F8" s="87">
        <v>0.14680000000000001</v>
      </c>
      <c r="G8" s="57"/>
      <c r="H8" s="90"/>
      <c r="I8" s="57"/>
      <c r="J8" s="90"/>
    </row>
    <row r="9" spans="1:10" ht="13.5" customHeight="1" x14ac:dyDescent="0.25">
      <c r="A9" s="146" t="s">
        <v>69</v>
      </c>
      <c r="B9" s="133"/>
      <c r="C9" s="133"/>
      <c r="D9" s="133"/>
      <c r="E9" s="133"/>
      <c r="F9" s="133"/>
      <c r="G9" s="133"/>
      <c r="H9" s="133"/>
      <c r="I9" s="133"/>
      <c r="J9" s="133"/>
    </row>
    <row r="10" spans="1:10" ht="13.5" customHeight="1" x14ac:dyDescent="0.25">
      <c r="A10" s="140" t="s">
        <v>70</v>
      </c>
      <c r="B10" s="133"/>
      <c r="C10" s="133"/>
      <c r="D10" s="133"/>
      <c r="E10" s="133"/>
      <c r="F10" s="133"/>
      <c r="G10" s="147">
        <v>2017</v>
      </c>
      <c r="H10" s="133"/>
      <c r="I10" s="133"/>
      <c r="J10" s="133"/>
    </row>
    <row r="11" spans="1:10" x14ac:dyDescent="0.25">
      <c r="A11" s="140" t="s">
        <v>71</v>
      </c>
      <c r="B11" s="133"/>
      <c r="C11" s="140" t="s">
        <v>72</v>
      </c>
      <c r="D11" s="133"/>
      <c r="E11" s="140" t="s">
        <v>73</v>
      </c>
      <c r="F11" s="133"/>
      <c r="G11" s="133"/>
      <c r="H11" s="133"/>
      <c r="I11" s="133"/>
      <c r="J11" s="133"/>
    </row>
    <row r="12" spans="1:10" ht="14.25" customHeight="1" x14ac:dyDescent="0.25">
      <c r="A12" s="57" t="s">
        <v>74</v>
      </c>
      <c r="B12" s="92">
        <v>51.5515999745</v>
      </c>
      <c r="C12" s="57" t="s">
        <v>75</v>
      </c>
      <c r="D12" s="89">
        <v>54.254271448599994</v>
      </c>
      <c r="E12" s="144" t="s">
        <v>76</v>
      </c>
      <c r="F12" s="133"/>
      <c r="G12" s="133"/>
      <c r="H12" s="145">
        <v>64.377398425199999</v>
      </c>
      <c r="I12" s="133"/>
      <c r="J12" s="133"/>
    </row>
    <row r="13" spans="1:10" ht="14.25" customHeight="1" x14ac:dyDescent="0.25">
      <c r="A13" s="57" t="s">
        <v>77</v>
      </c>
      <c r="B13" s="92">
        <v>8.2191936796</v>
      </c>
      <c r="C13" s="57" t="s">
        <v>78</v>
      </c>
      <c r="D13" s="89">
        <v>56.052097191400001</v>
      </c>
      <c r="E13" s="144" t="s">
        <v>79</v>
      </c>
      <c r="F13" s="133"/>
      <c r="G13" s="133"/>
      <c r="H13" s="145">
        <v>103.18121186309999</v>
      </c>
      <c r="I13" s="133"/>
      <c r="J13" s="133"/>
    </row>
    <row r="14" spans="1:10" ht="14.25" customHeight="1" x14ac:dyDescent="0.25">
      <c r="A14" s="57" t="s">
        <v>80</v>
      </c>
      <c r="B14" s="92">
        <v>17.433497926899999</v>
      </c>
      <c r="C14" s="57" t="s">
        <v>81</v>
      </c>
      <c r="D14" s="89">
        <v>46.495496114200002</v>
      </c>
      <c r="E14" s="144" t="s">
        <v>82</v>
      </c>
      <c r="F14" s="133"/>
      <c r="G14" s="133"/>
      <c r="H14" s="145">
        <v>167.75535051759999</v>
      </c>
      <c r="I14" s="133"/>
      <c r="J14" s="133"/>
    </row>
    <row r="15" spans="1:10" ht="14.25" customHeight="1" x14ac:dyDescent="0.25">
      <c r="A15" s="57" t="s">
        <v>83</v>
      </c>
      <c r="B15" s="92">
        <v>41.4842546434</v>
      </c>
      <c r="C15" s="57" t="s">
        <v>84</v>
      </c>
      <c r="D15" s="89">
        <v>1.8174040306999999</v>
      </c>
      <c r="E15" s="144" t="s">
        <v>85</v>
      </c>
      <c r="F15" s="133"/>
      <c r="G15" s="133"/>
      <c r="H15" s="145">
        <v>58.471138464500001</v>
      </c>
      <c r="I15" s="133"/>
      <c r="J15" s="133"/>
    </row>
    <row r="16" spans="1:10" ht="14.25" customHeight="1" x14ac:dyDescent="0.25">
      <c r="A16" s="57" t="s">
        <v>86</v>
      </c>
      <c r="B16" s="92">
        <v>50.830161624799999</v>
      </c>
      <c r="C16" s="57" t="s">
        <v>87</v>
      </c>
      <c r="D16" s="89">
        <v>4.5975383032999995</v>
      </c>
      <c r="E16" s="144" t="s">
        <v>88</v>
      </c>
      <c r="F16" s="133"/>
      <c r="G16" s="133"/>
      <c r="H16" s="145">
        <v>94.540661932399999</v>
      </c>
      <c r="I16" s="133"/>
      <c r="J16" s="133"/>
    </row>
    <row r="17" spans="1:10" ht="14.25" customHeight="1" x14ac:dyDescent="0.25">
      <c r="A17" s="57" t="s">
        <v>89</v>
      </c>
      <c r="B17" s="92">
        <v>48.020303562399995</v>
      </c>
      <c r="C17" s="57" t="s">
        <v>90</v>
      </c>
      <c r="D17" s="89">
        <v>1.9717050743</v>
      </c>
      <c r="E17" s="144" t="s">
        <v>91</v>
      </c>
      <c r="F17" s="133"/>
      <c r="G17" s="133"/>
      <c r="H17" s="145">
        <v>160.93945149250001</v>
      </c>
      <c r="I17" s="133"/>
      <c r="J17" s="133"/>
    </row>
    <row r="18" spans="1:10" ht="14.25" customHeight="1" x14ac:dyDescent="0.25">
      <c r="A18" s="57" t="s">
        <v>92</v>
      </c>
      <c r="B18" s="92">
        <v>402.74962903929998</v>
      </c>
      <c r="C18" s="57" t="s">
        <v>93</v>
      </c>
      <c r="D18" s="89">
        <v>-0.51722236499999996</v>
      </c>
      <c r="E18" s="144" t="s">
        <v>94</v>
      </c>
      <c r="F18" s="133"/>
      <c r="G18" s="133"/>
      <c r="H18" s="145">
        <v>6.8158990251000002</v>
      </c>
      <c r="I18" s="133"/>
      <c r="J18" s="133"/>
    </row>
    <row r="19" spans="1:10" ht="14.25" customHeight="1" x14ac:dyDescent="0.25">
      <c r="A19" s="57" t="s">
        <v>95</v>
      </c>
      <c r="B19" s="92">
        <v>26.619270662399998</v>
      </c>
      <c r="C19" s="57" t="s">
        <v>96</v>
      </c>
      <c r="D19" s="89">
        <v>1.2798094979999999</v>
      </c>
      <c r="E19" s="144" t="s">
        <v>97</v>
      </c>
      <c r="F19" s="133"/>
      <c r="G19" s="133"/>
      <c r="H19" s="145">
        <v>-29.845977480100004</v>
      </c>
      <c r="I19" s="133"/>
      <c r="J19" s="133"/>
    </row>
    <row r="20" spans="1:10" ht="27" customHeight="1" x14ac:dyDescent="0.25">
      <c r="A20" s="57" t="s">
        <v>98</v>
      </c>
      <c r="B20" s="92">
        <v>7.8275818367999994</v>
      </c>
      <c r="C20" s="57" t="s">
        <v>40</v>
      </c>
      <c r="D20" s="89">
        <v>0.82106597209999999</v>
      </c>
      <c r="E20" s="144" t="s">
        <v>99</v>
      </c>
      <c r="F20" s="133"/>
      <c r="G20" s="133"/>
      <c r="H20" s="145">
        <v>3.62</v>
      </c>
      <c r="I20" s="133"/>
      <c r="J20" s="133"/>
    </row>
    <row r="21" spans="1:10" ht="16.5" customHeight="1" x14ac:dyDescent="0.25">
      <c r="A21" s="57" t="s">
        <v>100</v>
      </c>
      <c r="B21" s="92">
        <v>0</v>
      </c>
      <c r="C21" s="57"/>
      <c r="D21" s="93"/>
      <c r="E21" s="144" t="s">
        <v>101</v>
      </c>
      <c r="F21" s="133"/>
      <c r="G21" s="133"/>
      <c r="H21" s="145">
        <v>85.514348302100004</v>
      </c>
      <c r="I21" s="133"/>
      <c r="J21" s="133"/>
    </row>
    <row r="22" spans="1:10" ht="14.25" customHeight="1" x14ac:dyDescent="0.25">
      <c r="A22" s="57" t="s">
        <v>102</v>
      </c>
      <c r="B22" s="92">
        <v>126.0559288795</v>
      </c>
      <c r="C22" s="57"/>
      <c r="D22" s="93"/>
      <c r="E22" s="144" t="s">
        <v>103</v>
      </c>
      <c r="F22" s="133"/>
      <c r="G22" s="133"/>
      <c r="H22" s="145">
        <v>14</v>
      </c>
      <c r="I22" s="133"/>
      <c r="J22" s="133"/>
    </row>
    <row r="23" spans="1:10" ht="14.25" customHeight="1" x14ac:dyDescent="0.25">
      <c r="A23" s="57" t="s">
        <v>104</v>
      </c>
      <c r="B23" s="92">
        <v>29.8420274062</v>
      </c>
      <c r="C23" s="57"/>
      <c r="D23" s="93"/>
      <c r="E23" s="144" t="s">
        <v>105</v>
      </c>
      <c r="F23" s="133"/>
      <c r="G23" s="133"/>
      <c r="H23" s="145">
        <v>108.63767162030001</v>
      </c>
      <c r="I23" s="133"/>
      <c r="J23" s="133"/>
    </row>
    <row r="24" spans="1:10" ht="14.25" customHeight="1" x14ac:dyDescent="0.25">
      <c r="A24" s="57" t="s">
        <v>106</v>
      </c>
      <c r="B24" s="92">
        <v>259.7042729666</v>
      </c>
      <c r="C24" s="94"/>
      <c r="D24" s="91"/>
      <c r="E24" s="144" t="s">
        <v>107</v>
      </c>
      <c r="F24" s="133"/>
      <c r="G24" s="133"/>
      <c r="H24" s="145">
        <v>42.977776910299994</v>
      </c>
      <c r="I24" s="133"/>
      <c r="J24" s="133"/>
    </row>
    <row r="25" spans="1:10" ht="14.25" customHeight="1" x14ac:dyDescent="0.25">
      <c r="A25" s="57" t="s">
        <v>108</v>
      </c>
      <c r="B25" s="92">
        <v>143.0453560727</v>
      </c>
      <c r="C25" s="94"/>
      <c r="D25" s="91"/>
      <c r="E25" s="144" t="s">
        <v>109</v>
      </c>
      <c r="F25" s="133"/>
      <c r="G25" s="133"/>
      <c r="H25" s="145">
        <v>65.355393973700004</v>
      </c>
      <c r="I25" s="133"/>
      <c r="J25" s="133"/>
    </row>
    <row r="26" spans="1:10" ht="14.25" customHeight="1" x14ac:dyDescent="0.25">
      <c r="A26" s="95" t="s">
        <v>110</v>
      </c>
      <c r="B26" s="92">
        <v>402.74962903929998</v>
      </c>
      <c r="C26" s="94"/>
      <c r="D26" s="91"/>
      <c r="E26" s="144" t="s">
        <v>111</v>
      </c>
      <c r="F26" s="133"/>
      <c r="G26" s="133"/>
      <c r="H26" s="145">
        <v>43.282277646600001</v>
      </c>
      <c r="I26" s="133"/>
      <c r="J26" s="133"/>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A1:J1"/>
    <mergeCell ref="A2:F2"/>
    <mergeCell ref="G2:J2"/>
    <mergeCell ref="A3:B3"/>
    <mergeCell ref="C3:D3"/>
    <mergeCell ref="E3:F3"/>
    <mergeCell ref="G3:H3"/>
    <mergeCell ref="I3:J3"/>
    <mergeCell ref="A9:J9"/>
    <mergeCell ref="A10:F10"/>
    <mergeCell ref="G10:J10"/>
    <mergeCell ref="A11:B11"/>
    <mergeCell ref="C11:D11"/>
    <mergeCell ref="E11:J11"/>
    <mergeCell ref="E12:G12"/>
    <mergeCell ref="H12:J12"/>
    <mergeCell ref="E13:G13"/>
    <mergeCell ref="H13:J13"/>
    <mergeCell ref="E14:G14"/>
    <mergeCell ref="H14:J14"/>
    <mergeCell ref="E15:G15"/>
    <mergeCell ref="H15:J15"/>
    <mergeCell ref="E16:G16"/>
    <mergeCell ref="H16:J16"/>
    <mergeCell ref="E17:G17"/>
    <mergeCell ref="H17:J17"/>
    <mergeCell ref="E18:G18"/>
    <mergeCell ref="H18:J18"/>
    <mergeCell ref="E19:G19"/>
    <mergeCell ref="H19:J19"/>
    <mergeCell ref="E20:G20"/>
    <mergeCell ref="H20:J20"/>
    <mergeCell ref="E21:G21"/>
    <mergeCell ref="H21:J21"/>
    <mergeCell ref="E22:G22"/>
    <mergeCell ref="H22:J22"/>
    <mergeCell ref="E23:G23"/>
    <mergeCell ref="H23:J23"/>
    <mergeCell ref="E24:G24"/>
    <mergeCell ref="H24:J24"/>
    <mergeCell ref="E25:G25"/>
    <mergeCell ref="H25:J25"/>
    <mergeCell ref="E26:G26"/>
    <mergeCell ref="H26:J26"/>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workbookViewId="0">
      <selection activeCell="C11" sqref="C11"/>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7" t="s">
        <v>210</v>
      </c>
      <c r="B1" s="118"/>
      <c r="C1" s="118"/>
      <c r="D1" s="118"/>
      <c r="E1" s="118"/>
      <c r="F1" s="118"/>
      <c r="G1" s="118"/>
      <c r="H1" s="118"/>
      <c r="I1" s="118"/>
    </row>
    <row r="2" spans="1:10" ht="46.5" customHeight="1" x14ac:dyDescent="0.25">
      <c r="A2" s="54" t="s">
        <v>22</v>
      </c>
      <c r="B2" s="43" t="s">
        <v>259</v>
      </c>
      <c r="C2" s="43" t="s">
        <v>211</v>
      </c>
      <c r="D2" s="43" t="s">
        <v>270</v>
      </c>
      <c r="E2" s="43" t="s">
        <v>271</v>
      </c>
      <c r="F2" s="43" t="s">
        <v>272</v>
      </c>
      <c r="G2" s="43" t="s">
        <v>222</v>
      </c>
      <c r="H2" s="43" t="s">
        <v>273</v>
      </c>
      <c r="I2" s="43" t="s">
        <v>273</v>
      </c>
      <c r="J2" s="43" t="s">
        <v>273</v>
      </c>
    </row>
    <row r="3" spans="1:10" x14ac:dyDescent="0.25">
      <c r="A3" s="54" t="s">
        <v>24</v>
      </c>
      <c r="B3" s="97" t="s">
        <v>25</v>
      </c>
      <c r="C3" s="98" t="s">
        <v>212</v>
      </c>
      <c r="D3" s="97" t="s">
        <v>25</v>
      </c>
      <c r="E3" s="97" t="s">
        <v>25</v>
      </c>
      <c r="F3" s="97" t="s">
        <v>25</v>
      </c>
      <c r="G3" s="97" t="s">
        <v>25</v>
      </c>
      <c r="H3" s="97" t="s">
        <v>273</v>
      </c>
      <c r="I3" s="97" t="s">
        <v>273</v>
      </c>
      <c r="J3" s="97" t="s">
        <v>273</v>
      </c>
    </row>
    <row r="4" spans="1:10" s="7" customFormat="1" ht="21.6" x14ac:dyDescent="0.25">
      <c r="A4" s="9" t="s">
        <v>3</v>
      </c>
      <c r="B4" s="99" t="s">
        <v>260</v>
      </c>
      <c r="C4" s="98" t="s">
        <v>212</v>
      </c>
      <c r="D4" s="99" t="s">
        <v>260</v>
      </c>
      <c r="E4" s="99" t="s">
        <v>260</v>
      </c>
      <c r="F4" s="99" t="s">
        <v>260</v>
      </c>
      <c r="G4" s="99" t="s">
        <v>274</v>
      </c>
      <c r="H4" s="99" t="s">
        <v>273</v>
      </c>
      <c r="I4" s="99" t="s">
        <v>273</v>
      </c>
      <c r="J4" s="99" t="s">
        <v>273</v>
      </c>
    </row>
    <row r="5" spans="1:10" s="7" customFormat="1" x14ac:dyDescent="0.25">
      <c r="A5" s="9" t="s">
        <v>29</v>
      </c>
      <c r="B5" s="100" t="s">
        <v>30</v>
      </c>
      <c r="C5" s="98" t="s">
        <v>212</v>
      </c>
      <c r="D5" s="100" t="s">
        <v>30</v>
      </c>
      <c r="E5" s="100" t="s">
        <v>30</v>
      </c>
      <c r="F5" s="100" t="s">
        <v>30</v>
      </c>
      <c r="G5" s="100" t="s">
        <v>30</v>
      </c>
      <c r="H5" s="100" t="s">
        <v>273</v>
      </c>
      <c r="I5" s="100" t="s">
        <v>273</v>
      </c>
      <c r="J5" s="100" t="s">
        <v>273</v>
      </c>
    </row>
    <row r="6" spans="1:10" x14ac:dyDescent="0.25">
      <c r="A6" s="54" t="s">
        <v>32</v>
      </c>
      <c r="B6" s="101">
        <v>402.74962903929998</v>
      </c>
      <c r="C6" s="98">
        <v>260.302587583025</v>
      </c>
      <c r="D6" s="101">
        <v>458.18347899839995</v>
      </c>
      <c r="E6" s="101">
        <v>170.0463440991</v>
      </c>
      <c r="F6" s="101">
        <v>226.95914046759998</v>
      </c>
      <c r="G6" s="101">
        <v>186.021386767</v>
      </c>
      <c r="H6" s="101" t="s">
        <v>273</v>
      </c>
      <c r="I6" s="101" t="s">
        <v>273</v>
      </c>
      <c r="J6" s="101" t="s">
        <v>273</v>
      </c>
    </row>
    <row r="7" spans="1:10" x14ac:dyDescent="0.25">
      <c r="A7" s="54" t="s">
        <v>33</v>
      </c>
      <c r="B7" s="44">
        <v>0.64482799999999996</v>
      </c>
      <c r="C7" s="98">
        <v>0.49160024999999996</v>
      </c>
      <c r="D7" s="44">
        <v>0.68708699999999989</v>
      </c>
      <c r="E7" s="44">
        <v>0.46669699999999997</v>
      </c>
      <c r="F7" s="44">
        <v>0.51394300000000004</v>
      </c>
      <c r="G7" s="44">
        <v>0.298674</v>
      </c>
      <c r="H7" s="44" t="s">
        <v>273</v>
      </c>
      <c r="I7" s="44" t="s">
        <v>273</v>
      </c>
      <c r="J7" s="44" t="s">
        <v>273</v>
      </c>
    </row>
    <row r="8" spans="1:10" x14ac:dyDescent="0.25">
      <c r="A8" s="54" t="s">
        <v>34</v>
      </c>
      <c r="B8" s="101">
        <v>2.1282999999999999</v>
      </c>
      <c r="C8" s="98">
        <v>2.7968000000000002</v>
      </c>
      <c r="D8" s="101">
        <v>1.8144</v>
      </c>
      <c r="E8" s="101">
        <v>2.6962000000000002</v>
      </c>
      <c r="F8" s="101">
        <v>3.9102999999999999</v>
      </c>
      <c r="G8" s="101">
        <v>2.7663000000000002</v>
      </c>
      <c r="H8" s="101" t="s">
        <v>273</v>
      </c>
      <c r="I8" s="101" t="s">
        <v>273</v>
      </c>
      <c r="J8" s="101" t="s">
        <v>273</v>
      </c>
    </row>
    <row r="9" spans="1:10" x14ac:dyDescent="0.25">
      <c r="A9" s="54" t="s">
        <v>35</v>
      </c>
      <c r="B9" s="97">
        <v>1.335439016555096</v>
      </c>
      <c r="C9" s="98">
        <v>0.77202120022422349</v>
      </c>
      <c r="D9" s="97">
        <v>1.2699973383336971</v>
      </c>
      <c r="E9" s="97">
        <v>0.72956224557947569</v>
      </c>
      <c r="F9" s="97">
        <v>0.84438435151538149</v>
      </c>
      <c r="G9" s="97">
        <v>0.24414086546833927</v>
      </c>
      <c r="H9" s="97" t="s">
        <v>273</v>
      </c>
      <c r="I9" s="97" t="s">
        <v>273</v>
      </c>
      <c r="J9" s="97" t="s">
        <v>273</v>
      </c>
    </row>
    <row r="10" spans="1:10" ht="21.6" customHeight="1" x14ac:dyDescent="0.25">
      <c r="A10" s="54" t="s">
        <v>36</v>
      </c>
      <c r="B10" s="101">
        <v>2.2800000000000001E-2</v>
      </c>
      <c r="C10" s="98">
        <v>0.1023</v>
      </c>
      <c r="D10" s="101">
        <v>3.7199999999999997E-2</v>
      </c>
      <c r="E10" s="101">
        <v>5.2699999999999997E-2</v>
      </c>
      <c r="F10" s="101">
        <v>3.8199999999999998E-2</v>
      </c>
      <c r="G10" s="101">
        <v>0.28110000000000002</v>
      </c>
      <c r="H10" s="101" t="s">
        <v>273</v>
      </c>
      <c r="I10" s="101" t="s">
        <v>273</v>
      </c>
      <c r="J10" s="101" t="s">
        <v>273</v>
      </c>
    </row>
    <row r="11" spans="1:10" x14ac:dyDescent="0.25">
      <c r="A11" s="54" t="s">
        <v>37</v>
      </c>
      <c r="B11" s="101">
        <v>54.254271448599994</v>
      </c>
      <c r="C11" s="98">
        <v>32.100789978150004</v>
      </c>
      <c r="D11" s="101">
        <v>70.835307172499995</v>
      </c>
      <c r="E11" s="101">
        <v>16.644856084300002</v>
      </c>
      <c r="F11" s="101">
        <v>9.2110761869999997</v>
      </c>
      <c r="G11" s="101">
        <v>31.711920468800002</v>
      </c>
      <c r="H11" s="101" t="s">
        <v>273</v>
      </c>
      <c r="I11" s="101" t="s">
        <v>273</v>
      </c>
      <c r="J11" s="101" t="s">
        <v>273</v>
      </c>
    </row>
    <row r="12" spans="1:10" s="7" customFormat="1" x14ac:dyDescent="0.25">
      <c r="A12" s="9" t="s">
        <v>38</v>
      </c>
      <c r="B12" s="45">
        <v>1.1866000000000001</v>
      </c>
      <c r="C12" s="98">
        <v>1.1109749999999998</v>
      </c>
      <c r="D12" s="45">
        <v>0.92230000000000001</v>
      </c>
      <c r="E12" s="45">
        <v>1.4870000000000001</v>
      </c>
      <c r="F12" s="45">
        <v>0.97609999999999997</v>
      </c>
      <c r="G12" s="45">
        <v>1.0585</v>
      </c>
      <c r="H12" s="45" t="s">
        <v>273</v>
      </c>
      <c r="I12" s="45" t="s">
        <v>273</v>
      </c>
      <c r="J12" s="45" t="s">
        <v>273</v>
      </c>
    </row>
    <row r="13" spans="1:10" s="7" customFormat="1" x14ac:dyDescent="0.25">
      <c r="A13" s="9" t="s">
        <v>39</v>
      </c>
      <c r="B13" s="45">
        <v>0.143008</v>
      </c>
      <c r="C13" s="98">
        <v>0.26048525</v>
      </c>
      <c r="D13" s="45">
        <v>0.21248699999999998</v>
      </c>
      <c r="E13" s="45">
        <v>0.34924500000000003</v>
      </c>
      <c r="F13" s="45">
        <v>0.223245</v>
      </c>
      <c r="G13" s="45">
        <v>0.25696400000000003</v>
      </c>
      <c r="H13" s="45" t="s">
        <v>273</v>
      </c>
      <c r="I13" s="45" t="s">
        <v>273</v>
      </c>
      <c r="J13" s="45" t="s">
        <v>273</v>
      </c>
    </row>
    <row r="14" spans="1:10" s="7" customFormat="1" x14ac:dyDescent="0.25">
      <c r="A14" s="9" t="s">
        <v>40</v>
      </c>
      <c r="B14" s="102">
        <v>0.82106597209999999</v>
      </c>
      <c r="C14" s="98">
        <v>3.5735902137999997</v>
      </c>
      <c r="D14" s="102">
        <v>2.0975489002000001</v>
      </c>
      <c r="E14" s="102">
        <v>0.55455963520000007</v>
      </c>
      <c r="F14" s="102">
        <v>3.3367820236000001</v>
      </c>
      <c r="G14" s="102">
        <v>8.3054702961999993</v>
      </c>
      <c r="H14" s="102" t="s">
        <v>273</v>
      </c>
      <c r="I14" s="102" t="s">
        <v>273</v>
      </c>
      <c r="J14" s="102" t="s">
        <v>273</v>
      </c>
    </row>
    <row r="15" spans="1:10" x14ac:dyDescent="0.25">
      <c r="A15" s="54" t="s">
        <v>42</v>
      </c>
      <c r="B15" s="44">
        <v>4.7099999999999998E-3</v>
      </c>
      <c r="C15" s="98">
        <v>3.9153750000000001E-2</v>
      </c>
      <c r="D15" s="44">
        <v>7.9900000000000001E-4</v>
      </c>
      <c r="E15" s="44">
        <v>9.2100000000000012E-3</v>
      </c>
      <c r="F15" s="44">
        <v>3.8448999999999997E-2</v>
      </c>
      <c r="G15" s="44">
        <v>0.108157</v>
      </c>
      <c r="H15" s="44" t="s">
        <v>273</v>
      </c>
      <c r="I15" s="44" t="s">
        <v>273</v>
      </c>
      <c r="J15" s="44" t="s">
        <v>273</v>
      </c>
    </row>
    <row r="16" spans="1:10" s="7" customFormat="1" ht="25.8" customHeight="1" x14ac:dyDescent="0.25">
      <c r="A16" s="9" t="s">
        <v>43</v>
      </c>
      <c r="B16" s="102">
        <v>6.8158990251000002</v>
      </c>
      <c r="C16" s="98">
        <v>-7.0463231360999989</v>
      </c>
      <c r="D16" s="102">
        <v>-22.3959565139</v>
      </c>
      <c r="E16" s="102">
        <v>-10.765865291199999</v>
      </c>
      <c r="F16" s="102">
        <v>3.1165961636000001</v>
      </c>
      <c r="G16" s="102">
        <v>1.8599330971000001</v>
      </c>
      <c r="H16" s="102" t="s">
        <v>273</v>
      </c>
      <c r="I16" s="102" t="s">
        <v>273</v>
      </c>
      <c r="J16" s="102" t="s">
        <v>273</v>
      </c>
    </row>
    <row r="17" spans="1:10" x14ac:dyDescent="0.25">
      <c r="A17" s="54" t="s">
        <v>57</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3"/>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213</v>
      </c>
      <c r="B1" s="118"/>
      <c r="C1" s="118"/>
      <c r="D1" s="118"/>
      <c r="E1" s="118"/>
      <c r="F1" s="118"/>
    </row>
    <row r="2" spans="1:6" x14ac:dyDescent="0.25">
      <c r="A2" s="51" t="s">
        <v>214</v>
      </c>
      <c r="B2" s="50" t="s">
        <v>215</v>
      </c>
      <c r="C2" s="50" t="s">
        <v>216</v>
      </c>
      <c r="D2" s="50" t="s">
        <v>217</v>
      </c>
      <c r="E2" s="50" t="s">
        <v>180</v>
      </c>
      <c r="F2" s="50" t="s">
        <v>218</v>
      </c>
    </row>
    <row r="3" spans="1:6" ht="48" customHeight="1" x14ac:dyDescent="0.25">
      <c r="A3" s="104">
        <v>43255</v>
      </c>
      <c r="B3" s="52" t="s">
        <v>219</v>
      </c>
      <c r="C3" s="105" t="s">
        <v>220</v>
      </c>
      <c r="D3" s="105"/>
      <c r="E3" s="52" t="s">
        <v>221</v>
      </c>
      <c r="F3" s="105"/>
    </row>
    <row r="4" spans="1:6" ht="49.5" customHeight="1" x14ac:dyDescent="0.25">
      <c r="A4" s="104">
        <v>43249</v>
      </c>
      <c r="B4" s="52" t="s">
        <v>222</v>
      </c>
      <c r="C4" s="105" t="s">
        <v>220</v>
      </c>
      <c r="D4" s="105"/>
      <c r="E4" s="52" t="s">
        <v>223</v>
      </c>
      <c r="F4" s="105" t="s">
        <v>224</v>
      </c>
    </row>
    <row r="5" spans="1:6" ht="91.2" x14ac:dyDescent="0.25">
      <c r="A5" s="104">
        <v>43249</v>
      </c>
      <c r="B5" s="52" t="s">
        <v>225</v>
      </c>
      <c r="C5" s="105"/>
      <c r="D5" s="105"/>
      <c r="E5" s="52" t="s">
        <v>223</v>
      </c>
      <c r="F5" s="105" t="s">
        <v>226</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39" t="s">
        <v>227</v>
      </c>
      <c r="B21" s="139"/>
      <c r="C21" s="139"/>
      <c r="D21" s="139"/>
      <c r="E21" s="139"/>
      <c r="F21" s="139"/>
    </row>
    <row r="22" spans="1:6" x14ac:dyDescent="0.25">
      <c r="A22" s="84" t="s">
        <v>214</v>
      </c>
      <c r="B22" s="84" t="s">
        <v>215</v>
      </c>
      <c r="C22" s="84" t="s">
        <v>228</v>
      </c>
      <c r="D22" s="84" t="s">
        <v>229</v>
      </c>
      <c r="E22" s="84" t="s">
        <v>180</v>
      </c>
      <c r="F22" s="84" t="s">
        <v>218</v>
      </c>
    </row>
    <row r="23" spans="1:6" x14ac:dyDescent="0.25">
      <c r="A23" s="107">
        <v>43463</v>
      </c>
      <c r="B23" s="58" t="s">
        <v>230</v>
      </c>
      <c r="C23" s="108" t="s">
        <v>231</v>
      </c>
      <c r="D23" s="108"/>
      <c r="E23" s="58" t="s">
        <v>232</v>
      </c>
      <c r="F23" s="108" t="s">
        <v>233</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234</v>
      </c>
      <c r="B1" s="118"/>
      <c r="C1" s="118"/>
      <c r="D1" s="118"/>
      <c r="E1" s="118"/>
      <c r="F1" s="118"/>
      <c r="G1" s="118"/>
      <c r="H1" s="118"/>
      <c r="I1" s="118"/>
      <c r="J1" s="118"/>
      <c r="K1" s="118"/>
      <c r="L1" s="118"/>
      <c r="M1" s="118"/>
      <c r="N1" s="118"/>
    </row>
    <row r="2" spans="1:18" s="1" customFormat="1" ht="25.5" customHeight="1" x14ac:dyDescent="0.25">
      <c r="A2" s="55" t="s">
        <v>235</v>
      </c>
      <c r="B2" s="55" t="s">
        <v>236</v>
      </c>
      <c r="C2" s="55" t="s">
        <v>237</v>
      </c>
      <c r="D2" s="55" t="s">
        <v>238</v>
      </c>
      <c r="E2" s="55" t="s">
        <v>239</v>
      </c>
      <c r="F2" s="55" t="s">
        <v>240</v>
      </c>
      <c r="G2" s="55" t="s">
        <v>241</v>
      </c>
      <c r="H2" s="55" t="s">
        <v>16</v>
      </c>
      <c r="I2" s="55" t="s">
        <v>242</v>
      </c>
      <c r="J2" s="55" t="s">
        <v>243</v>
      </c>
      <c r="K2" s="55" t="s">
        <v>244</v>
      </c>
      <c r="L2" s="55" t="s">
        <v>245</v>
      </c>
      <c r="M2" s="55" t="s">
        <v>19</v>
      </c>
      <c r="N2" s="55" t="s">
        <v>246</v>
      </c>
      <c r="O2" s="3"/>
      <c r="P2" s="110" t="str">
        <f ca="1">Q2</f>
        <v>2019-04-15</v>
      </c>
      <c r="Q2" s="1" t="str">
        <f ca="1">[1]!td(R2-1)</f>
        <v>2019-04-15</v>
      </c>
      <c r="R2" s="3">
        <f ca="1">TODAY()</f>
        <v>43571</v>
      </c>
    </row>
    <row r="3" spans="1:18" ht="15.75" customHeight="1" x14ac:dyDescent="0.25">
      <c r="A3" s="111" t="str">
        <f>[1]!b_info_name(L3)</f>
        <v>19鄂西圈CP001</v>
      </c>
      <c r="B3" s="2" t="str">
        <f>[1]!b_issue_firstissue(L3)</f>
        <v>2019-04-17</v>
      </c>
      <c r="C3" s="111">
        <f>[1]!b_info_term(L3)</f>
        <v>1</v>
      </c>
      <c r="D3" s="112" t="str">
        <f>[1]!issuerrating(L3)</f>
        <v>AA+</v>
      </c>
      <c r="E3" s="112" t="str">
        <f>[1]!b_info_creditrating(L3)</f>
        <v>A-1</v>
      </c>
      <c r="F3" s="111" t="str">
        <f>[1]!b_rate_creditratingagency(L3)</f>
        <v>中诚信国际信用评级有限责任公司</v>
      </c>
      <c r="G3" s="113">
        <f>[1]!b_agency_guarantor(L3)</f>
        <v>0</v>
      </c>
      <c r="H3" s="114" t="s">
        <v>247</v>
      </c>
      <c r="I3" s="66"/>
      <c r="J3" s="115" t="s">
        <v>247</v>
      </c>
      <c r="K3" s="116"/>
      <c r="L3" s="41" t="str">
        <f>公式页!A2</f>
        <v>d19041502.IB</v>
      </c>
      <c r="M3" s="114" t="s">
        <v>247</v>
      </c>
      <c r="N3" s="111" t="str">
        <f>[1]!b_agency_leadunderwriter(L3)</f>
        <v>兴业银行股份有限公司,中国农业银行股份有限公司</v>
      </c>
      <c r="P3" s="109" t="str">
        <f t="shared" ref="P3:P29" ca="1" si="0">$P$2</f>
        <v>2019-04-15</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3.7343999999999999</v>
      </c>
      <c r="K4" s="116">
        <f>K3</f>
        <v>0</v>
      </c>
      <c r="L4" s="4" t="s">
        <v>248</v>
      </c>
      <c r="M4" s="114">
        <f>[1]!b_info_issueamount(L4)/100000000</f>
        <v>5</v>
      </c>
      <c r="N4" s="111" t="str">
        <f>[1]!b_agency_leadunderwriter(L4)</f>
        <v>上海浦东发展银行股份有限公司,中国国际金融股份有限公司</v>
      </c>
      <c r="P4" s="109" t="str">
        <f t="shared" ca="1" si="0"/>
        <v>2019-04-15</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2019-04-15</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2019-04-15</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2019-04-15</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2019-04-15</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2019-04-15</v>
      </c>
    </row>
    <row r="10" spans="1:18" x14ac:dyDescent="0.25">
      <c r="P10" s="109" t="str">
        <f t="shared" ca="1" si="0"/>
        <v>2019-04-15</v>
      </c>
    </row>
    <row r="11" spans="1:18" x14ac:dyDescent="0.25">
      <c r="P11" s="109" t="str">
        <f t="shared" ca="1" si="0"/>
        <v>2019-04-15</v>
      </c>
    </row>
    <row r="12" spans="1:18" x14ac:dyDescent="0.25">
      <c r="A12" s="150" t="s">
        <v>249</v>
      </c>
      <c r="B12" s="118"/>
      <c r="C12" s="118"/>
      <c r="D12" s="118"/>
      <c r="E12" s="118"/>
      <c r="F12" s="118"/>
      <c r="G12" s="118"/>
      <c r="H12" s="118"/>
      <c r="I12" s="118"/>
      <c r="J12" s="118"/>
      <c r="K12" s="118"/>
      <c r="L12" s="118"/>
      <c r="M12" s="118"/>
      <c r="N12" s="118"/>
      <c r="P12" s="109" t="str">
        <f t="shared" ca="1" si="0"/>
        <v>2019-04-15</v>
      </c>
    </row>
    <row r="13" spans="1:18" s="1" customFormat="1" ht="43.2" customHeight="1" x14ac:dyDescent="0.25">
      <c r="A13" s="55" t="s">
        <v>235</v>
      </c>
      <c r="B13" s="55" t="s">
        <v>236</v>
      </c>
      <c r="C13" s="55" t="s">
        <v>237</v>
      </c>
      <c r="D13" s="55" t="s">
        <v>238</v>
      </c>
      <c r="E13" s="55" t="s">
        <v>239</v>
      </c>
      <c r="F13" s="55" t="s">
        <v>240</v>
      </c>
      <c r="G13" s="55" t="s">
        <v>241</v>
      </c>
      <c r="H13" s="55" t="s">
        <v>16</v>
      </c>
      <c r="I13" s="55" t="s">
        <v>242</v>
      </c>
      <c r="J13" s="55" t="s">
        <v>243</v>
      </c>
      <c r="K13" s="55" t="s">
        <v>244</v>
      </c>
      <c r="L13" s="55" t="s">
        <v>245</v>
      </c>
      <c r="M13" s="55" t="s">
        <v>19</v>
      </c>
      <c r="N13" s="55" t="s">
        <v>246</v>
      </c>
      <c r="P13" s="109" t="str">
        <f t="shared" ca="1" si="0"/>
        <v>2019-04-15</v>
      </c>
    </row>
    <row r="14" spans="1:18" ht="15.75" customHeight="1" x14ac:dyDescent="0.25">
      <c r="A14" s="111" t="str">
        <f>[1]!b_info_name(L14)</f>
        <v>19鄂西圈CP001</v>
      </c>
      <c r="B14" s="2" t="str">
        <f>[1]!b_issue_firstissue(L14)</f>
        <v>2019-04-17</v>
      </c>
      <c r="C14" s="111">
        <f>[1]!b_info_term(L14)</f>
        <v>1</v>
      </c>
      <c r="D14" s="112" t="str">
        <f>[1]!issuerrating(L14)</f>
        <v>AA+</v>
      </c>
      <c r="E14" s="112" t="str">
        <f>[1]!b_info_creditrating(L14)</f>
        <v>A-1</v>
      </c>
      <c r="F14" s="111" t="str">
        <f>[1]!b_rate_creditratingagency(L14)</f>
        <v>中诚信国际信用评级有限责任公司</v>
      </c>
      <c r="G14" s="113">
        <f>[1]!b_agency_guarantor(L14)</f>
        <v>0</v>
      </c>
      <c r="H14" s="114" t="s">
        <v>247</v>
      </c>
      <c r="I14" s="66"/>
      <c r="J14" s="115" t="s">
        <v>247</v>
      </c>
      <c r="K14" s="116">
        <f>K3</f>
        <v>0</v>
      </c>
      <c r="L14" s="42" t="str">
        <f>L3</f>
        <v>d19041502.IB</v>
      </c>
      <c r="M14" s="114" t="s">
        <v>247</v>
      </c>
      <c r="N14" s="111" t="str">
        <f>[1]!b_agency_leadunderwriter(L14)</f>
        <v>兴业银行股份有限公司,中国农业银行股份有限公司</v>
      </c>
      <c r="P14" s="109" t="str">
        <f t="shared" ca="1" si="0"/>
        <v>2019-04-15</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250</v>
      </c>
      <c r="M15" s="114">
        <f>[1]!b_info_issueamount(L15)/100000000</f>
        <v>5</v>
      </c>
      <c r="N15" s="111" t="str">
        <f>[1]!b_agency_leadunderwriter(L15)</f>
        <v>招商银行股份有限公司</v>
      </c>
      <c r="O15" t="str">
        <f>[1]!b_issuer_windindustry(L15,4)</f>
        <v>西药</v>
      </c>
      <c r="P15" s="109" t="str">
        <f t="shared" ca="1" si="0"/>
        <v>2019-04-15</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251</v>
      </c>
      <c r="M16" s="114">
        <f>[1]!b_info_issueamount(L16)/100000000</f>
        <v>6</v>
      </c>
      <c r="N16" s="111" t="str">
        <f>[1]!b_agency_leadunderwriter(L16)</f>
        <v>北京银行股份有限公司</v>
      </c>
      <c r="O16" t="str">
        <f>[1]!b_issuer_windindustry(L16,4)</f>
        <v>化肥与农用化工</v>
      </c>
      <c r="P16" s="109" t="str">
        <f t="shared" ca="1" si="0"/>
        <v>2019-04-15</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252</v>
      </c>
      <c r="M17" s="114">
        <f>[1]!b_info_issueamount(L17)/100000000</f>
        <v>3.5</v>
      </c>
      <c r="N17" s="111" t="str">
        <f>[1]!b_agency_leadunderwriter(L17)</f>
        <v>华夏银行股份有限公司</v>
      </c>
      <c r="O17" t="str">
        <f>[1]!b_issuer_windindustry(L17,4)</f>
        <v>食品加工与肉类</v>
      </c>
      <c r="P17" s="109" t="str">
        <f t="shared" ca="1" si="0"/>
        <v>2019-04-15</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253</v>
      </c>
      <c r="M18" s="114">
        <f>[1]!b_info_issueamount(L18)/100000000</f>
        <v>3</v>
      </c>
      <c r="N18" s="111" t="str">
        <f>[1]!b_agency_leadunderwriter(L18)</f>
        <v>兴业银行股份有限公司</v>
      </c>
      <c r="O18" t="str">
        <f>[1]!b_issuer_windindustry(L18,4)</f>
        <v>工业机械</v>
      </c>
      <c r="P18" s="109" t="str">
        <f t="shared" ca="1" si="0"/>
        <v>2019-04-15</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254</v>
      </c>
      <c r="M19" s="114">
        <f>[1]!b_info_issueamount(L19)/100000000</f>
        <v>3</v>
      </c>
      <c r="N19" s="111" t="str">
        <f>[1]!b_agency_leadunderwriter(L19)</f>
        <v>中国银行股份有限公司</v>
      </c>
      <c r="O19" t="str">
        <f>[1]!b_issuer_windindustry(L19,4)</f>
        <v>半导体产品</v>
      </c>
      <c r="P19" s="109" t="str">
        <f t="shared" ca="1" si="0"/>
        <v>2019-04-15</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255</v>
      </c>
      <c r="M20" s="114">
        <f>[1]!b_info_issueamount(L20)/100000000</f>
        <v>5</v>
      </c>
      <c r="N20" s="111" t="str">
        <f>[1]!b_agency_leadunderwriter(L20)</f>
        <v>中国银行股份有限公司</v>
      </c>
      <c r="O20" t="str">
        <f>[1]!b_issuer_windindustry(L20,4)</f>
        <v>医疗保健用品</v>
      </c>
      <c r="P20" s="109" t="str">
        <f t="shared" ca="1" si="0"/>
        <v>2019-04-15</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256</v>
      </c>
      <c r="M21" s="114">
        <f>[1]!b_info_issueamount(L21)/100000000</f>
        <v>2</v>
      </c>
      <c r="N21" s="111" t="str">
        <f>[1]!b_agency_leadunderwriter(L21)</f>
        <v>中国银行股份有限公司</v>
      </c>
      <c r="O21" t="str">
        <f>[1]!b_issuer_windindustry(L21,4)</f>
        <v>食品加工与肉类</v>
      </c>
      <c r="P21" s="109" t="str">
        <f t="shared" ca="1" si="0"/>
        <v>2019-04-15</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257</v>
      </c>
      <c r="M22" s="114">
        <f>[1]!b_info_issueamount(L22)/100000000</f>
        <v>4</v>
      </c>
      <c r="N22" s="111" t="str">
        <f>[1]!b_agency_leadunderwriter(L22)</f>
        <v>中国工商银行股份有限公司</v>
      </c>
      <c r="O22" t="str">
        <f>[1]!b_issuer_windindustry(L22,4)</f>
        <v>酒店、度假村与豪华游轮</v>
      </c>
      <c r="P22" s="109" t="str">
        <f t="shared" ca="1" si="0"/>
        <v>2019-04-15</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258</v>
      </c>
      <c r="M23" s="114">
        <f>[1]!b_info_issueamount(L23)/100000000</f>
        <v>4</v>
      </c>
      <c r="N23" s="111" t="str">
        <f>[1]!b_agency_leadunderwriter(L23)</f>
        <v>中国银行股份有限公司</v>
      </c>
      <c r="O23" t="str">
        <f>[1]!b_issuer_windindustry(L23,4)</f>
        <v>金属非金属</v>
      </c>
      <c r="P23" s="109" t="str">
        <f t="shared" ca="1" si="0"/>
        <v>2019-04-15</v>
      </c>
    </row>
    <row r="24" spans="1:16" x14ac:dyDescent="0.25">
      <c r="P24" s="109" t="str">
        <f t="shared" ca="1" si="0"/>
        <v>2019-04-15</v>
      </c>
    </row>
    <row r="25" spans="1:16" x14ac:dyDescent="0.25">
      <c r="P25" s="109" t="str">
        <f t="shared" ca="1" si="0"/>
        <v>2019-04-15</v>
      </c>
    </row>
    <row r="26" spans="1:16" x14ac:dyDescent="0.25">
      <c r="P26" s="109" t="str">
        <f t="shared" ca="1" si="0"/>
        <v>2019-04-15</v>
      </c>
    </row>
    <row r="27" spans="1:16" x14ac:dyDescent="0.25">
      <c r="P27" s="109" t="str">
        <f t="shared" ca="1" si="0"/>
        <v>2019-04-15</v>
      </c>
    </row>
    <row r="28" spans="1:16" x14ac:dyDescent="0.25">
      <c r="P28" s="109" t="str">
        <f t="shared" ca="1" si="0"/>
        <v>2019-04-15</v>
      </c>
    </row>
    <row r="29" spans="1:16" x14ac:dyDescent="0.25">
      <c r="P29" s="109" t="str">
        <f t="shared" ca="1" si="0"/>
        <v>2019-04-15</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2019-04-16T08:12:27Z</dcterms:modified>
</cp:coreProperties>
</file>