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7新券信评\"/>
    </mc:Choice>
  </mc:AlternateContent>
  <xr:revisionPtr revIDLastSave="0" documentId="13_ncr:1_{65A6B066-8471-42D7-8AF6-6A3520DF18B8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M21" i="6"/>
  <c r="G20" i="6"/>
  <c r="D19" i="6"/>
  <c r="A18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O23" i="6"/>
  <c r="F21" i="6"/>
  <c r="C20" i="6"/>
  <c r="M17" i="6"/>
  <c r="H16" i="6"/>
  <c r="E15" i="6"/>
  <c r="D9" i="6"/>
  <c r="A8" i="6"/>
  <c r="F7" i="6"/>
  <c r="M6" i="6"/>
  <c r="D6" i="6"/>
  <c r="D5" i="6"/>
  <c r="A4" i="6"/>
  <c r="C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H23" i="6"/>
  <c r="B21" i="6"/>
  <c r="G16" i="6"/>
  <c r="D15" i="6"/>
  <c r="D14" i="6"/>
  <c r="H6" i="6"/>
  <c r="G3" i="6"/>
  <c r="M141" i="1"/>
  <c r="M137" i="1"/>
  <c r="M134" i="1"/>
  <c r="O131" i="1"/>
  <c r="M128" i="1"/>
  <c r="M123" i="1"/>
  <c r="D112" i="1"/>
  <c r="S110" i="1"/>
  <c r="P103" i="1"/>
  <c r="F102" i="1"/>
  <c r="R101" i="1"/>
  <c r="M101" i="1"/>
  <c r="D101" i="1"/>
  <c r="P100" i="1"/>
  <c r="J100" i="1"/>
  <c r="B100" i="1"/>
  <c r="N99" i="1"/>
  <c r="F99" i="1"/>
  <c r="Q98" i="1"/>
  <c r="L98" i="1"/>
  <c r="D98" i="1"/>
  <c r="O97" i="1"/>
  <c r="G97" i="1"/>
  <c r="B97" i="1"/>
  <c r="M96" i="1"/>
  <c r="E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G30" i="1"/>
  <c r="E29" i="1"/>
  <c r="R28" i="1"/>
  <c r="G28" i="1"/>
  <c r="C28" i="1"/>
  <c r="L27" i="1"/>
  <c r="N26" i="1"/>
  <c r="C26" i="1"/>
  <c r="L25" i="1"/>
  <c r="R24" i="1"/>
  <c r="C24" i="1"/>
  <c r="L23" i="1"/>
  <c r="G22" i="1"/>
  <c r="P21" i="1"/>
  <c r="L21" i="1"/>
  <c r="R20" i="1"/>
  <c r="N20" i="1"/>
  <c r="C20" i="1"/>
  <c r="D23" i="6"/>
  <c r="N20" i="6"/>
  <c r="E18" i="6"/>
  <c r="D16" i="6"/>
  <c r="A15" i="6"/>
  <c r="H9" i="6"/>
  <c r="F8" i="6"/>
  <c r="C7" i="6"/>
  <c r="C6" i="6"/>
  <c r="H5" i="6"/>
  <c r="F4" i="6"/>
  <c r="S140" i="1"/>
  <c r="S136" i="1"/>
  <c r="S133" i="1"/>
  <c r="M131" i="1"/>
  <c r="S129" i="1"/>
  <c r="M110" i="1"/>
  <c r="F109" i="1"/>
  <c r="O103" i="1"/>
  <c r="E102" i="1"/>
  <c r="Q101" i="1"/>
  <c r="J101" i="1"/>
  <c r="C101" i="1"/>
  <c r="O100" i="1"/>
  <c r="F100" i="1"/>
  <c r="R99" i="1"/>
  <c r="M99" i="1"/>
  <c r="D99" i="1"/>
  <c r="P98" i="1"/>
  <c r="J98" i="1"/>
  <c r="B98" i="1"/>
  <c r="N97" i="1"/>
  <c r="F97" i="1"/>
  <c r="Q96" i="1"/>
  <c r="L96" i="1"/>
  <c r="D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C30" i="1"/>
  <c r="P29" i="1"/>
  <c r="L29" i="1"/>
  <c r="N28" i="1"/>
  <c r="P27" i="1"/>
  <c r="E27" i="1"/>
  <c r="R26" i="1"/>
  <c r="G26" i="1"/>
  <c r="P25" i="1"/>
  <c r="E25" i="1"/>
  <c r="N24" i="1"/>
  <c r="G24" i="1"/>
  <c r="P23" i="1"/>
  <c r="E23" i="1"/>
  <c r="C22" i="1"/>
  <c r="E21" i="1"/>
  <c r="G20" i="1"/>
  <c r="P19" i="1"/>
  <c r="E22" i="6"/>
  <c r="F17" i="6"/>
  <c r="A9" i="6"/>
  <c r="M7" i="6"/>
  <c r="Q2" i="6"/>
  <c r="S138" i="1"/>
  <c r="O132" i="1"/>
  <c r="S112" i="1"/>
  <c r="J103" i="1"/>
  <c r="N101" i="1"/>
  <c r="Q100" i="1"/>
  <c r="D100" i="1"/>
  <c r="G99" i="1"/>
  <c r="M98" i="1"/>
  <c r="Q97" i="1"/>
  <c r="C97" i="1"/>
  <c r="F96" i="1"/>
  <c r="C95" i="1"/>
  <c r="G93" i="1"/>
  <c r="E92" i="1"/>
  <c r="C91" i="1"/>
  <c r="G89" i="1"/>
  <c r="E88" i="1"/>
  <c r="C87" i="1"/>
  <c r="G85" i="1"/>
  <c r="E84" i="1"/>
  <c r="C83" i="1"/>
  <c r="G81" i="1"/>
  <c r="E80" i="1"/>
  <c r="C79" i="1"/>
  <c r="G77" i="1"/>
  <c r="E76" i="1"/>
  <c r="C75" i="1"/>
  <c r="G73" i="1"/>
  <c r="E72" i="1"/>
  <c r="C71" i="1"/>
  <c r="G69" i="1"/>
  <c r="E68" i="1"/>
  <c r="C67" i="1"/>
  <c r="G65" i="1"/>
  <c r="E64" i="1"/>
  <c r="C63" i="1"/>
  <c r="G61" i="1"/>
  <c r="E60" i="1"/>
  <c r="C59" i="1"/>
  <c r="G57" i="1"/>
  <c r="E56" i="1"/>
  <c r="C55" i="1"/>
  <c r="G53" i="1"/>
  <c r="E52" i="1"/>
  <c r="C51" i="1"/>
  <c r="G49" i="1"/>
  <c r="E48" i="1"/>
  <c r="C47" i="1"/>
  <c r="G45" i="1"/>
  <c r="E44" i="1"/>
  <c r="C43" i="1"/>
  <c r="G41" i="1"/>
  <c r="E40" i="1"/>
  <c r="C39" i="1"/>
  <c r="G37" i="1"/>
  <c r="E36" i="1"/>
  <c r="C35" i="1"/>
  <c r="G33" i="1"/>
  <c r="E32" i="1"/>
  <c r="C31" i="1"/>
  <c r="R29" i="1"/>
  <c r="G29" i="1"/>
  <c r="P28" i="1"/>
  <c r="E28" i="1"/>
  <c r="N27" i="1"/>
  <c r="C27" i="1"/>
  <c r="L26" i="1"/>
  <c r="R25" i="1"/>
  <c r="G25" i="1"/>
  <c r="P24" i="1"/>
  <c r="E24" i="1"/>
  <c r="N23" i="1"/>
  <c r="C23" i="1"/>
  <c r="R21" i="1"/>
  <c r="G21" i="1"/>
  <c r="P20" i="1"/>
  <c r="E20" i="1"/>
  <c r="N19" i="1"/>
  <c r="E19" i="1"/>
  <c r="F18" i="1"/>
  <c r="R17" i="1"/>
  <c r="L17" i="1"/>
  <c r="D17" i="1"/>
  <c r="F16" i="1"/>
  <c r="Q15" i="1"/>
  <c r="L15" i="1"/>
  <c r="D15" i="1"/>
  <c r="D14" i="1"/>
  <c r="F10" i="1"/>
  <c r="B8" i="1"/>
  <c r="E4" i="1"/>
  <c r="O130" i="1"/>
  <c r="F111" i="1"/>
  <c r="B102" i="1"/>
  <c r="L100" i="1"/>
  <c r="B99" i="1"/>
  <c r="J97" i="1"/>
  <c r="O96" i="1"/>
  <c r="E94" i="1"/>
  <c r="G91" i="1"/>
  <c r="C89" i="1"/>
  <c r="C85" i="1"/>
  <c r="E82" i="1"/>
  <c r="G79" i="1"/>
  <c r="C77" i="1"/>
  <c r="E74" i="1"/>
  <c r="G71" i="1"/>
  <c r="C69" i="1"/>
  <c r="E66" i="1"/>
  <c r="G63" i="1"/>
  <c r="C61" i="1"/>
  <c r="E58" i="1"/>
  <c r="G55" i="1"/>
  <c r="C53" i="1"/>
  <c r="G51" i="1"/>
  <c r="G47" i="1"/>
  <c r="C45" i="1"/>
  <c r="E42" i="1"/>
  <c r="E38" i="1"/>
  <c r="G35" i="1"/>
  <c r="G31" i="1"/>
  <c r="N29" i="1"/>
  <c r="L28" i="1"/>
  <c r="G27" i="1"/>
  <c r="E26" i="1"/>
  <c r="C25" i="1"/>
  <c r="R23" i="1"/>
  <c r="E22" i="1"/>
  <c r="C21" i="1"/>
  <c r="L20" i="1"/>
  <c r="J19" i="1"/>
  <c r="O17" i="1"/>
  <c r="J16" i="1"/>
  <c r="O15" i="1"/>
  <c r="B9" i="1"/>
  <c r="H19" i="6"/>
  <c r="E8" i="6"/>
  <c r="M139" i="1"/>
  <c r="D110" i="1"/>
  <c r="O101" i="1"/>
  <c r="E100" i="1"/>
  <c r="R97" i="1"/>
  <c r="J96" i="1"/>
  <c r="B94" i="1"/>
  <c r="B90" i="1"/>
  <c r="D87" i="1"/>
  <c r="F84" i="1"/>
  <c r="B82" i="1"/>
  <c r="B78" i="1"/>
  <c r="D75" i="1"/>
  <c r="D71" i="1"/>
  <c r="F68" i="1"/>
  <c r="F64" i="1"/>
  <c r="B62" i="1"/>
  <c r="D59" i="1"/>
  <c r="D55" i="1"/>
  <c r="F52" i="1"/>
  <c r="F48" i="1"/>
  <c r="B46" i="1"/>
  <c r="D43" i="1"/>
  <c r="D39" i="1"/>
  <c r="D35" i="1"/>
  <c r="F32" i="1"/>
  <c r="J29" i="1"/>
  <c r="O27" i="1"/>
  <c r="B26" i="1"/>
  <c r="Q24" i="1"/>
  <c r="D23" i="1"/>
  <c r="J21" i="1"/>
  <c r="A22" i="6"/>
  <c r="B17" i="6"/>
  <c r="G14" i="6"/>
  <c r="E4" i="6"/>
  <c r="O135" i="1"/>
  <c r="S130" i="1"/>
  <c r="O127" i="1"/>
  <c r="D102" i="1"/>
  <c r="G101" i="1"/>
  <c r="M100" i="1"/>
  <c r="Q99" i="1"/>
  <c r="C99" i="1"/>
  <c r="F98" i="1"/>
  <c r="M97" i="1"/>
  <c r="P96" i="1"/>
  <c r="B96" i="1"/>
  <c r="F94" i="1"/>
  <c r="D93" i="1"/>
  <c r="B92" i="1"/>
  <c r="F90" i="1"/>
  <c r="D89" i="1"/>
  <c r="B88" i="1"/>
  <c r="F86" i="1"/>
  <c r="D85" i="1"/>
  <c r="B84" i="1"/>
  <c r="F82" i="1"/>
  <c r="D81" i="1"/>
  <c r="B80" i="1"/>
  <c r="F78" i="1"/>
  <c r="D77" i="1"/>
  <c r="B76" i="1"/>
  <c r="F74" i="1"/>
  <c r="D73" i="1"/>
  <c r="B72" i="1"/>
  <c r="F70" i="1"/>
  <c r="D69" i="1"/>
  <c r="B68" i="1"/>
  <c r="F66" i="1"/>
  <c r="D65" i="1"/>
  <c r="B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F34" i="1"/>
  <c r="D33" i="1"/>
  <c r="B32" i="1"/>
  <c r="F30" i="1"/>
  <c r="O29" i="1"/>
  <c r="D29" i="1"/>
  <c r="M28" i="1"/>
  <c r="B28" i="1"/>
  <c r="J27" i="1"/>
  <c r="Q26" i="1"/>
  <c r="F26" i="1"/>
  <c r="O25" i="1"/>
  <c r="D25" i="1"/>
  <c r="M24" i="1"/>
  <c r="B24" i="1"/>
  <c r="J23" i="1"/>
  <c r="F22" i="1"/>
  <c r="O21" i="1"/>
  <c r="D21" i="1"/>
  <c r="M20" i="1"/>
  <c r="B20" i="1"/>
  <c r="L19" i="1"/>
  <c r="D19" i="1"/>
  <c r="E18" i="1"/>
  <c r="P17" i="1"/>
  <c r="J17" i="1"/>
  <c r="C17" i="1"/>
  <c r="D16" i="1"/>
  <c r="P15" i="1"/>
  <c r="J15" i="1"/>
  <c r="B15" i="1"/>
  <c r="C14" i="1"/>
  <c r="B10" i="1"/>
  <c r="B7" i="1"/>
  <c r="B4" i="1"/>
  <c r="O19" i="6"/>
  <c r="O15" i="6"/>
  <c r="B7" i="6"/>
  <c r="A5" i="6"/>
  <c r="M135" i="1"/>
  <c r="M127" i="1"/>
  <c r="F101" i="1"/>
  <c r="O99" i="1"/>
  <c r="E98" i="1"/>
  <c r="G95" i="1"/>
  <c r="C93" i="1"/>
  <c r="E90" i="1"/>
  <c r="G87" i="1"/>
  <c r="E86" i="1"/>
  <c r="G83" i="1"/>
  <c r="C81" i="1"/>
  <c r="E78" i="1"/>
  <c r="G75" i="1"/>
  <c r="C73" i="1"/>
  <c r="E70" i="1"/>
  <c r="G67" i="1"/>
  <c r="C65" i="1"/>
  <c r="E62" i="1"/>
  <c r="G59" i="1"/>
  <c r="C57" i="1"/>
  <c r="E54" i="1"/>
  <c r="E50" i="1"/>
  <c r="C49" i="1"/>
  <c r="E46" i="1"/>
  <c r="G43" i="1"/>
  <c r="C41" i="1"/>
  <c r="G39" i="1"/>
  <c r="C37" i="1"/>
  <c r="E34" i="1"/>
  <c r="C33" i="1"/>
  <c r="E30" i="1"/>
  <c r="C29" i="1"/>
  <c r="R27" i="1"/>
  <c r="P26" i="1"/>
  <c r="N25" i="1"/>
  <c r="L24" i="1"/>
  <c r="G23" i="1"/>
  <c r="N21" i="1"/>
  <c r="R19" i="1"/>
  <c r="C19" i="1"/>
  <c r="C18" i="1"/>
  <c r="G17" i="1"/>
  <c r="C16" i="1"/>
  <c r="F15" i="1"/>
  <c r="G14" i="1"/>
  <c r="B14" i="1"/>
  <c r="B6" i="1"/>
  <c r="S132" i="1"/>
  <c r="F113" i="1"/>
  <c r="L103" i="1"/>
  <c r="B101" i="1"/>
  <c r="J99" i="1"/>
  <c r="O98" i="1"/>
  <c r="D97" i="1"/>
  <c r="D95" i="1"/>
  <c r="F92" i="1"/>
  <c r="D91" i="1"/>
  <c r="F88" i="1"/>
  <c r="B86" i="1"/>
  <c r="D83" i="1"/>
  <c r="F80" i="1"/>
  <c r="D79" i="1"/>
  <c r="F76" i="1"/>
  <c r="B74" i="1"/>
  <c r="F72" i="1"/>
  <c r="B70" i="1"/>
  <c r="D67" i="1"/>
  <c r="B66" i="1"/>
  <c r="D63" i="1"/>
  <c r="F60" i="1"/>
  <c r="B58" i="1"/>
  <c r="F56" i="1"/>
  <c r="B54" i="1"/>
  <c r="D51" i="1"/>
  <c r="B50" i="1"/>
  <c r="D47" i="1"/>
  <c r="F44" i="1"/>
  <c r="B42" i="1"/>
  <c r="F40" i="1"/>
  <c r="B38" i="1"/>
  <c r="F36" i="1"/>
  <c r="B34" i="1"/>
  <c r="D31" i="1"/>
  <c r="B30" i="1"/>
  <c r="Q28" i="1"/>
  <c r="F28" i="1"/>
  <c r="D27" i="1"/>
  <c r="M26" i="1"/>
  <c r="J25" i="1"/>
  <c r="F24" i="1"/>
  <c r="O23" i="1"/>
  <c r="B22" i="1"/>
  <c r="Q20" i="1"/>
  <c r="G18" i="1"/>
  <c r="G16" i="1"/>
  <c r="F14" i="1"/>
  <c r="O19" i="1"/>
  <c r="F8" i="1"/>
  <c r="E17" i="1"/>
  <c r="E5" i="1"/>
  <c r="F20" i="1"/>
  <c r="B18" i="1"/>
  <c r="B16" i="1"/>
  <c r="B11" i="1"/>
  <c r="N17" i="1"/>
  <c r="M15" i="1"/>
  <c r="G19" i="1"/>
  <c r="E15" i="1"/>
  <c r="H122" i="1" l="1"/>
  <c r="B117" i="1"/>
  <c r="B125" i="1"/>
  <c r="P22" i="1"/>
  <c r="D117" i="1"/>
  <c r="H120" i="1"/>
  <c r="D125" i="1"/>
  <c r="J22" i="1"/>
  <c r="B129" i="1"/>
  <c r="O22" i="1"/>
  <c r="D120" i="1"/>
  <c r="H112" i="1"/>
  <c r="D122" i="1"/>
  <c r="H128" i="1"/>
  <c r="P2" i="6"/>
  <c r="L22" i="1"/>
  <c r="Q22" i="1"/>
  <c r="B110" i="1"/>
  <c r="H119" i="1"/>
  <c r="B121" i="1"/>
  <c r="H123" i="1"/>
  <c r="H126" i="1"/>
  <c r="H130" i="1"/>
  <c r="M22" i="1"/>
  <c r="H110" i="1"/>
  <c r="B118" i="1"/>
  <c r="D121" i="1"/>
  <c r="B124" i="1"/>
  <c r="B127" i="1"/>
  <c r="B131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26" i="6"/>
  <c r="P22" i="6"/>
  <c r="P14" i="6"/>
  <c r="P18" i="6"/>
  <c r="P15" i="6"/>
  <c r="P13" i="6"/>
  <c r="P12" i="6"/>
  <c r="P5" i="6"/>
  <c r="P8" i="6"/>
  <c r="P9" i="6"/>
  <c r="P4" i="6"/>
  <c r="J8" i="6"/>
  <c r="J17" i="6"/>
  <c r="J20" i="6"/>
  <c r="J9" i="6"/>
  <c r="J22" i="6"/>
  <c r="J15" i="6"/>
  <c r="J21" i="6"/>
  <c r="J23" i="6"/>
  <c r="J5" i="6"/>
  <c r="J18" i="6"/>
  <c r="J16" i="6"/>
  <c r="J6" i="6"/>
  <c r="J19" i="6"/>
  <c r="J7" i="6"/>
</calcChain>
</file>

<file path=xl/sharedStrings.xml><?xml version="1.0" encoding="utf-8"?>
<sst xmlns="http://schemas.openxmlformats.org/spreadsheetml/2006/main" count="669" uniqueCount="335">
  <si>
    <t>d19041607.IB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</si>
  <si>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</si>
  <si>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</si>
  <si>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</si>
  <si>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</si>
  <si>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</si>
  <si>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</si>
  <si>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</si>
  <si>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</si>
  <si>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</si>
  <si>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</si>
  <si>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</si>
  <si>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</si>
  <si>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</si>
  <si>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</si>
  <si>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</si>
  <si>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</si>
  <si>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</si>
  <si>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</si>
  <si>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</si>
  <si>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</si>
  <si>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</si>
  <si>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</si>
  <si>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151107.SH</t>
  </si>
  <si>
    <t>主体级别</t>
  </si>
  <si>
    <t>AAA</t>
  </si>
  <si>
    <t>1880292.IB</t>
  </si>
  <si>
    <t>*选择性黏贴</t>
  </si>
  <si>
    <t>143957.SH</t>
  </si>
  <si>
    <t>数据年度</t>
  </si>
  <si>
    <t>2017年</t>
  </si>
  <si>
    <t>011699862.IB</t>
  </si>
  <si>
    <t>总资产</t>
  </si>
  <si>
    <t>011900038.IB</t>
  </si>
  <si>
    <t>负债率</t>
  </si>
  <si>
    <t>101656062.IB</t>
  </si>
  <si>
    <t>流动比率</t>
  </si>
  <si>
    <t>011801269.IB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</si>
  <si>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</si>
  <si>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</si>
  <si>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</si>
  <si>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</si>
  <si>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</si>
  <si>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</si>
  <si>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</si>
  <si>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</si>
  <si>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</si>
  <si>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</si>
  <si>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</si>
  <si>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</si>
  <si>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</si>
  <si>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</si>
  <si>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</si>
  <si>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</si>
  <si>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</si>
  <si>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</si>
  <si>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</si>
  <si>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</si>
  <si>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</si>
  <si>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</si>
  <si>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</si>
  <si>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</si>
  <si>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</si>
  <si>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</si>
  <si>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</si>
  <si>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</si>
  <si>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</si>
  <si>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</si>
  <si>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</si>
  <si>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</si>
  <si>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</si>
  <si>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</si>
  <si>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</si>
  <si>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</si>
  <si>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</si>
  <si>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</si>
  <si>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</si>
  <si>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</si>
  <si>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</si>
  <si>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</si>
  <si>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</si>
  <si>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</si>
  <si>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</si>
  <si>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</si>
  <si>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</si>
  <si>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</si>
  <si>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</si>
  <si>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</si>
  <si>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</si>
  <si>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</si>
  <si>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</si>
  <si>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</si>
  <si>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</si>
  <si>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</si>
  <si>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</si>
  <si>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</si>
  <si>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</si>
  <si>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</si>
  <si>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</si>
  <si>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</si>
  <si>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</si>
  <si>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</si>
  <si>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</si>
  <si>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</si>
  <si>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</si>
  <si>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</si>
  <si>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</si>
  <si>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</si>
  <si>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</si>
  <si>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</si>
  <si>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</si>
  <si>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</si>
  <si>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</si>
  <si>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</si>
  <si>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</si>
  <si>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</si>
  <si>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</si>
  <si>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</si>
  <si>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</si>
  <si>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</si>
  <si>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</si>
  <si>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101900402.IB</t>
  </si>
  <si>
    <t>20190321</t>
  </si>
  <si>
    <t>19青岛城投MTN001</t>
  </si>
  <si>
    <t>031900214.IB</t>
  </si>
  <si>
    <t>20190318</t>
  </si>
  <si>
    <t>19青岛城投PPN002</t>
  </si>
  <si>
    <t>011900658.IB</t>
  </si>
  <si>
    <t>19青岛城投SCP002</t>
  </si>
  <si>
    <t>031900157.IB</t>
  </si>
  <si>
    <t>20190304</t>
  </si>
  <si>
    <t>19青岛城投PPN001</t>
  </si>
  <si>
    <t>011900270.IB</t>
  </si>
  <si>
    <t>20190123</t>
  </si>
  <si>
    <t>19青岛城投SCP001</t>
  </si>
  <si>
    <t>155996.SH</t>
  </si>
  <si>
    <t>20181205</t>
  </si>
  <si>
    <t>18青城Y4</t>
  </si>
  <si>
    <t>155029.SH</t>
  </si>
  <si>
    <t>20181115</t>
  </si>
  <si>
    <t>18青城05</t>
  </si>
  <si>
    <t>136942.SH</t>
  </si>
  <si>
    <t>20181026</t>
  </si>
  <si>
    <t>18青城Y2</t>
  </si>
  <si>
    <t>011802006.IB</t>
  </si>
  <si>
    <t>20181022</t>
  </si>
  <si>
    <t>18青岛城投SCP006</t>
  </si>
  <si>
    <t>101801125.IB</t>
  </si>
  <si>
    <t>20180926</t>
  </si>
  <si>
    <t>18青岛城投MTN001</t>
  </si>
  <si>
    <t>011801714.IB</t>
  </si>
  <si>
    <t>20180829</t>
  </si>
  <si>
    <t>18青岛城投SCP005</t>
  </si>
  <si>
    <t>011801618.IB</t>
  </si>
  <si>
    <t>20180821</t>
  </si>
  <si>
    <t>18青岛城投SCP004</t>
  </si>
  <si>
    <t>011801481.IB</t>
  </si>
  <si>
    <t>20180808</t>
  </si>
  <si>
    <t>18青岛城投SCP003</t>
  </si>
  <si>
    <t>150567.SH</t>
  </si>
  <si>
    <t>20180723</t>
  </si>
  <si>
    <t>18青城03</t>
  </si>
  <si>
    <t>150339.SH</t>
  </si>
  <si>
    <t>20180425</t>
  </si>
  <si>
    <t>18青城01</t>
  </si>
  <si>
    <t>150340.SH</t>
  </si>
  <si>
    <t>18青城02</t>
  </si>
  <si>
    <t>031800257.IB</t>
  </si>
  <si>
    <t>20180423</t>
  </si>
  <si>
    <t>18青岛城投PPN002</t>
  </si>
  <si>
    <t>011800663.IB</t>
  </si>
  <si>
    <t>20180410</t>
  </si>
  <si>
    <t>18青岛城投SCP002</t>
  </si>
  <si>
    <t>031800137.IB</t>
  </si>
  <si>
    <t>20180315</t>
  </si>
  <si>
    <t>18青岛城投PPN001</t>
  </si>
  <si>
    <t>011800416.IB</t>
  </si>
  <si>
    <t>20180313</t>
  </si>
  <si>
    <t>18青岛城投SCP001</t>
  </si>
  <si>
    <t>011760167.IB</t>
  </si>
  <si>
    <t>20171102</t>
  </si>
  <si>
    <t>17青岛城投SCP002</t>
  </si>
  <si>
    <t>145059.SH</t>
  </si>
  <si>
    <t>20171030</t>
  </si>
  <si>
    <t>17青城02</t>
  </si>
  <si>
    <t>145058.SH</t>
  </si>
  <si>
    <t>17青城01</t>
  </si>
  <si>
    <t>011764089.IB</t>
  </si>
  <si>
    <t>20170824</t>
  </si>
  <si>
    <t>17青岛城投SCP001</t>
  </si>
  <si>
    <t>145040.SH</t>
  </si>
  <si>
    <t>20161018</t>
  </si>
  <si>
    <t>16青建投</t>
  </si>
  <si>
    <t>101674005.IB</t>
  </si>
  <si>
    <t>20160509</t>
  </si>
  <si>
    <t>16青岛城投MTN001</t>
  </si>
  <si>
    <t>031554057.IB</t>
  </si>
  <si>
    <t>20151203</t>
  </si>
  <si>
    <t>15青岛城投PPN001</t>
  </si>
  <si>
    <t>041564098.IB</t>
  </si>
  <si>
    <t>20151118</t>
  </si>
  <si>
    <t>15青岛城投CP002</t>
  </si>
  <si>
    <t>041564053.IB</t>
  </si>
  <si>
    <t>20150722</t>
  </si>
  <si>
    <t>15青岛城投CP001</t>
  </si>
  <si>
    <t>041464054.IB</t>
  </si>
  <si>
    <t>20140819</t>
  </si>
  <si>
    <t>14青岛城投CP002</t>
  </si>
  <si>
    <t>031490470.IB</t>
  </si>
  <si>
    <t>20140605</t>
  </si>
  <si>
    <t>14青岛城投PPN002</t>
  </si>
  <si>
    <t>041464032.IB</t>
  </si>
  <si>
    <t>20140512</t>
  </si>
  <si>
    <t>14青岛城投CP001</t>
  </si>
  <si>
    <t>031490229.IB</t>
  </si>
  <si>
    <t>20140402</t>
  </si>
  <si>
    <t>14青岛城投PPN001</t>
  </si>
  <si>
    <t>041364047.IB</t>
  </si>
  <si>
    <t>20131226</t>
  </si>
  <si>
    <t>13青岛城投CP002</t>
  </si>
  <si>
    <t>1382144.IB</t>
  </si>
  <si>
    <t>20130328</t>
  </si>
  <si>
    <t>13青城投MTN1</t>
  </si>
  <si>
    <t>041364010.IB</t>
  </si>
  <si>
    <t>20130322</t>
  </si>
  <si>
    <t>13青岛城投CP001</t>
  </si>
  <si>
    <t>041264034.IB</t>
  </si>
  <si>
    <t>20121114</t>
  </si>
  <si>
    <t>12青岛城投CP001</t>
  </si>
  <si>
    <t>1282471.IB</t>
  </si>
  <si>
    <t>20121113</t>
  </si>
  <si>
    <t>12青城投MTN1</t>
  </si>
  <si>
    <t>1280016.IB</t>
  </si>
  <si>
    <t>20120216</t>
  </si>
  <si>
    <t>12青岛城投债02</t>
  </si>
  <si>
    <t>1280015.IB</t>
  </si>
  <si>
    <t>12青岛城投债01</t>
  </si>
  <si>
    <t>150568.SH</t>
  </si>
  <si>
    <t>18青城04</t>
  </si>
  <si>
    <t>136941.SH</t>
  </si>
  <si>
    <t>18青城Y1</t>
  </si>
  <si>
    <t>155995.SH</t>
  </si>
  <si>
    <t>18青城Y3</t>
  </si>
  <si>
    <t>历史主体评级</t>
  </si>
  <si>
    <t>发布日期</t>
  </si>
  <si>
    <t>主体资信级别</t>
  </si>
  <si>
    <t>评级展望</t>
  </si>
  <si>
    <t>评级机构</t>
  </si>
  <si>
    <t>20190306</t>
  </si>
  <si>
    <t>稳定</t>
  </si>
  <si>
    <t>中诚信国际信用评级有限责任公司</t>
  </si>
  <si>
    <t>20181126</t>
  </si>
  <si>
    <t>中诚信证券评估有限公司</t>
  </si>
  <si>
    <t>20181030</t>
  </si>
  <si>
    <t>大公国际资信评估有限公司</t>
  </si>
  <si>
    <t>20181016</t>
  </si>
  <si>
    <t>20180725</t>
  </si>
  <si>
    <t>20170623</t>
  </si>
  <si>
    <t>20161223</t>
  </si>
  <si>
    <t>20160517</t>
  </si>
  <si>
    <t>20160204</t>
  </si>
  <si>
    <t>20150821</t>
  </si>
  <si>
    <t>20150625</t>
  </si>
  <si>
    <t>20150216</t>
  </si>
  <si>
    <t>20141015</t>
  </si>
  <si>
    <t>20140626</t>
  </si>
  <si>
    <t>20140328</t>
  </si>
  <si>
    <t>20130712</t>
  </si>
  <si>
    <t>20130619</t>
  </si>
  <si>
    <t>20130226</t>
  </si>
  <si>
    <t>20130118</t>
  </si>
  <si>
    <t>20120823</t>
  </si>
  <si>
    <t>20120803</t>
  </si>
  <si>
    <t>20110503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</si>
  <si>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</si>
  <si>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</si>
  <si>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</si>
  <si>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</si>
  <si>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</si>
  <si>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</si>
  <si>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</si>
  <si>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</si>
  <si>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</si>
  <si>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济南西城投资开发集团有限公司</t>
  </si>
  <si>
    <t>AA+稳定上调至AAA稳定</t>
  </si>
  <si>
    <t>联合信用评级有限公司</t>
  </si>
  <si>
    <t>青岛市即墨区城市开发投资有限公司</t>
  </si>
  <si>
    <t>AA稳定上调至AA+稳定</t>
  </si>
  <si>
    <t>鹏元资信评估有限公司</t>
  </si>
  <si>
    <t>2017年即墨区实现GDP1310.6亿元，同比增长9.2%，区域经济和财政发展势头良好，继续为公司发展提供了良好基础。公司代建业务持续性较好，未来代建收入比较有保障。公司房地产业务增长较快，且未来较有保障。公司土地储备上有21148.43亩，比较丰富，同时，公司净资产规模在重新评估后有了显著提升。</t>
  </si>
  <si>
    <t>潍坊市投资集团有限公司</t>
  </si>
  <si>
    <t>联合资信评估有限公司</t>
  </si>
  <si>
    <t xml:space="preserve"> 公司是潍坊市政府下属大型综合性国有投资企业，政府支持力度大。公司主营业务及投资范围广泛，有利于分散经营风险，公司持有潍柴动力、滨海投资等多家优质企业股权，所投资主要企业经营情况良好，近年来，公司在潍坊市政府支持下通过PPP 项目一次性回收阳光大厦建设资金，公司财务费用大幅下降，期间费用管控能力明显提升。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</si>
  <si>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</si>
  <si>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</si>
  <si>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</si>
  <si>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</si>
  <si>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</si>
  <si>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</si>
  <si>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</si>
  <si>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</si>
  <si>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</si>
  <si>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</si>
  <si>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</si>
  <si>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</si>
  <si>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</si>
  <si>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</si>
  <si>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</si>
  <si>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</si>
  <si>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</si>
  <si>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</si>
  <si>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</si>
  <si>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</si>
  <si>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</si>
  <si>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</si>
  <si>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</si>
  <si>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</si>
  <si>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</si>
  <si>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</si>
  <si>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</si>
  <si>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</si>
  <si>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青岛城市建设投资(集团)有限责任公司</t>
  </si>
  <si>
    <t>地方国有企业</t>
  </si>
  <si>
    <t>工业--资本货物--综合类Ⅲ--综合类行业</t>
  </si>
  <si>
    <t>山东省青岛市市南区澳门路121号甲</t>
  </si>
  <si>
    <t>青岛城投集团是经青岛市委、市政府批准成立的国有全资控股公司。自2008年5月公司正式组建运营以来，按照“政府引导、市场化运作、企业化经营”的工作思路，以城市建设和运营为中心，以资金筹集为重点，积极从事城市基础设施建设、土地整理与开发、市政府重点工程、民生工程和房产项目的投资开发，以及现代服务业的投资与运营，实现了“快速组建、迅速发展”的目标。公司经营范围主要包括城市旧城改造及交通建设、土地整理与开发、市政设施建设与运营、政府房产项目的投资开发、现代服务业的投资与运营等。目前集团公司拥有城市建设和现代服务业两大业务领域，主要业务板块的战略布局基本形成，企业发展已步入快车道。公司作为青岛市城市基础设施建设及政府重点项目建设经营的主体，得到青岛市政府的政策支持和优质资源配置支撑，在所属行业占据竞争优势地位。通过组建集团后三年来的经营和发展，公司正在依靠多方面的优势迅速扩大资产规模、明晰主业发展方向，不断规范企业经营和管理，增强持续发展能力，从外延和内涵两方面提升企业经济和社会效益。</t>
  </si>
  <si>
    <t>青岛市人民政府国有资产监督管理委员会</t>
  </si>
  <si>
    <t/>
  </si>
  <si>
    <t>A-1</t>
  </si>
  <si>
    <t>青岛国信发展(集团)有限责任公司</t>
  </si>
  <si>
    <t>山东高速集团有限公司</t>
  </si>
  <si>
    <t>日照港集团有限公司</t>
  </si>
  <si>
    <t>山东省国有资产投资控股有限公司</t>
  </si>
  <si>
    <t>青岛地铁集团有限公司</t>
  </si>
  <si>
    <t>山东省鲁信投资控股集团有限公司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</si>
</sst>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青岛城市建设投资(集团)有限责任公司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工业--资本货物--综合类Ⅲ--综合类行业</v>
      </c>
      <c r="C5" s="117"/>
      <c r="D5" s="57" t="s">
        <v>5</v>
      </c>
      <c r="E5" s="116" t="str">
        <f>[1]!b_issuer_regaddress(A2)</f>
        <v>山东省青岛市市南区澳门路121号甲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青岛城投集团是经青岛市委、市政府批准成立的国有全资控股公司。自2008年5月公司正式组建运营以来，按照“政府引导、市场化运作、企业化经营”的工作思路，以城市建设和运营为中心，以资金筹集为重点，积极从事城市基础设施建设、土地整理与开发、市政府重点工程、民生工程和房产项目的投资开发，以及现代服务业的投资与运营，实现了“快速组建、迅速发展”的目标。公司经营范围主要包括城市旧城改造及交通建设、土地整理与开发、市政设施建设与运营、政府房产项目的投资开发、现代服务业的投资与运营等。目前集团公司拥有城市建设和现代服务业两大业务领域，主要业务板块的战略布局基本形成，企业发展已步入快车道。公司作为青岛市城市基础设施建设及政府重点项目建设经营的主体，得到青岛市政府的政策支持和优质资源配置支撑，在所属行业占据竞争优势地位。通过组建集团后三年来的经营和发展，公司正在依靠多方面的优势迅速扩大资产规模、明晰主业发展方向，不断规范企业经营和管理，增强持续发展能力，从外延和内涵两方面提升企业经济和社会效益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青岛市人民政府国有资产监督管理委员会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d19041607.IB</v>
      </c>
      <c r="K14" s="26"/>
      <c r="L14" s="27" t="str">
        <f>T15</f>
        <v>151107.SH</v>
      </c>
      <c r="M14" s="27" t="str">
        <f>T16</f>
        <v>1880292.IB</v>
      </c>
      <c r="N14" s="27" t="str">
        <f>T17</f>
        <v>143957.SH</v>
      </c>
      <c r="O14" s="27" t="str">
        <f>T18</f>
        <v>011699862.IB</v>
      </c>
      <c r="P14" s="27" t="str">
        <f>T19</f>
        <v>011900038.IB</v>
      </c>
      <c r="Q14" s="27" t="str">
        <f>T20</f>
        <v>101656062.IB</v>
      </c>
      <c r="R14" s="5" t="str">
        <f>T21</f>
        <v>011801269.IB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青岛城市建设投资(集团)有限责任公司</v>
      </c>
      <c r="K15" s="135"/>
      <c r="L15" s="8" t="str">
        <f>[1]!b_info_issuer(L14)</f>
        <v>青岛国信发展(集团)有限责任公司</v>
      </c>
      <c r="M15" s="8" t="str">
        <f>[1]!b_info_issuer(M14)</f>
        <v>济南西城投资开发集团有限公司</v>
      </c>
      <c r="N15" s="8" t="str">
        <f>[1]!b_info_issuer(N14)</f>
        <v>山东高速集团有限公司</v>
      </c>
      <c r="O15" s="8" t="str">
        <f>[1]!b_info_issuer(O14)</f>
        <v>日照港集团有限公司</v>
      </c>
      <c r="P15" s="8" t="str">
        <f>[1]!b_info_issuer(P14)</f>
        <v>山东省国有资产投资控股有限公司</v>
      </c>
      <c r="Q15" s="8" t="str">
        <f>[1]!b_info_issuer(Q14)</f>
        <v>青岛地铁集团有限公司</v>
      </c>
      <c r="R15" s="8" t="str">
        <f>[1]!b_info_issuer(R14)</f>
        <v>山东省鲁信投资控股集团有限公司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1741.2116339728</v>
      </c>
      <c r="K19" s="121"/>
      <c r="L19" s="67">
        <f>[1]!b_stm07_bs(L14,74,L13,1)/100000000</f>
        <v>544.91615601770002</v>
      </c>
      <c r="M19" s="67">
        <f>[1]!b_stm07_bs(M14,74,M13,1)/100000000</f>
        <v>931.77944679559994</v>
      </c>
      <c r="N19" s="67">
        <f>[1]!b_stm07_bs(N14,74,N13,1)/100000000</f>
        <v>5541.7622265375003</v>
      </c>
      <c r="O19" s="67">
        <f>[1]!b_stm07_bs(O14,74,O13,1)/100000000</f>
        <v>550.30270411109996</v>
      </c>
      <c r="P19" s="67">
        <f>[1]!b_stm07_bs(P14,74,P13,1)/100000000</f>
        <v>700.45633787020006</v>
      </c>
      <c r="Q19" s="67">
        <f>[1]!b_stm07_bs(Q14,74,Q13,1)/100000000</f>
        <v>681.54415430769996</v>
      </c>
      <c r="R19" s="67">
        <f>[1]!b_stm07_bs(R14,74,R13,1)/100000000</f>
        <v>698.13943698840001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0.64062200000000002</v>
      </c>
      <c r="K20" s="121"/>
      <c r="L20" s="10">
        <f>[1]!s_fa_debttoassets(L14,L13)/100</f>
        <v>0.62097099999999994</v>
      </c>
      <c r="M20" s="10">
        <f>[1]!s_fa_debttoassets(M14,M13)/100</f>
        <v>0.66636799999999996</v>
      </c>
      <c r="N20" s="10">
        <f>[1]!s_fa_debttoassets(N14,N13)/100</f>
        <v>0.71936499999999992</v>
      </c>
      <c r="O20" s="10">
        <f>[1]!s_fa_debttoassets(O14,O13)/100</f>
        <v>0.608101</v>
      </c>
      <c r="P20" s="10">
        <f>[1]!s_fa_debttoassets(P14,P13)/100</f>
        <v>0.63339199999999996</v>
      </c>
      <c r="Q20" s="10">
        <f>[1]!s_fa_debttoassets(Q14,Q13)/100</f>
        <v>0.60991600000000001</v>
      </c>
      <c r="R20" s="10">
        <f>[1]!s_fa_debttoassets(R14,R13)/100</f>
        <v>0.57977699999999999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2.9315000000000002</v>
      </c>
      <c r="K21" s="121"/>
      <c r="L21" s="67">
        <f>[1]!s_fa_current(L14,L13)</f>
        <v>1.9651000000000001</v>
      </c>
      <c r="M21" s="67">
        <f>[1]!s_fa_current(M14,M13)</f>
        <v>4.8874000000000004</v>
      </c>
      <c r="N21" s="67">
        <f>[1]!s_fa_current(N14,N13)</f>
        <v>0.62180000000000002</v>
      </c>
      <c r="O21" s="67">
        <f>[1]!s_fa_current(O14,O13)</f>
        <v>0.64149999999999996</v>
      </c>
      <c r="P21" s="67">
        <f>[1]!s_fa_current(P14,P13)</f>
        <v>1.4775</v>
      </c>
      <c r="Q21" s="67">
        <f>[1]!s_fa_current(Q14,Q13)</f>
        <v>1.2371000000000001</v>
      </c>
      <c r="R21" s="67">
        <f>[1]!s_fa_current(R14,R13)</f>
        <v>2.0474999999999999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1.1241463238346756</v>
      </c>
      <c r="K22" s="121"/>
      <c r="L22" s="65">
        <f>(公式页!L96+公式页!L97+公式页!L98+公式页!L99+公式页!L100+公式页!L101)/公式页!L103</f>
        <v>1.4587878041792774</v>
      </c>
      <c r="M22" s="65">
        <f t="shared" ref="M22:R22" si="0">(M96+M97+M98+M99+M100+M101)/M103</f>
        <v>1.1008174070353218</v>
      </c>
      <c r="N22" s="65">
        <f t="shared" si="0"/>
        <v>1.2055240199205568</v>
      </c>
      <c r="O22" s="65">
        <f t="shared" si="0"/>
        <v>0.92682964303802362</v>
      </c>
      <c r="P22" s="65">
        <f t="shared" si="0"/>
        <v>0.85334385162150495</v>
      </c>
      <c r="Q22" s="65">
        <f t="shared" si="0"/>
        <v>1.0108092908550013</v>
      </c>
      <c r="R22" s="65">
        <f t="shared" si="0"/>
        <v>1.138416144190787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3.1899999999999998E-2</v>
      </c>
      <c r="K23" s="121"/>
      <c r="L23" s="67">
        <f>[1]!s_fa_ebitdatodebt(L14,L13)</f>
        <v>6.2700000000000006E-2</v>
      </c>
      <c r="M23" s="67">
        <f>[1]!s_fa_ebitdatodebt(M14,M13)</f>
        <v>3.3700000000000001E-2</v>
      </c>
      <c r="N23" s="67">
        <f>[1]!s_fa_ebitdatodebt(N14,N13)</f>
        <v>4.1099999999999998E-2</v>
      </c>
      <c r="O23" s="67">
        <f>[1]!s_fa_ebitdatodebt(O14,O13)</f>
        <v>0.109</v>
      </c>
      <c r="P23" s="67">
        <f>[1]!s_fa_ebitdatodebt(P14,P13)</f>
        <v>8.2299999999999998E-2</v>
      </c>
      <c r="Q23" s="67">
        <f>[1]!s_fa_ebitdatodebt(Q14,Q13)</f>
        <v>1.11E-2</v>
      </c>
      <c r="R23" s="67">
        <f>[1]!s_fa_ebitdatodebt(R14,R13)</f>
        <v>9.0499999999999997E-2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71.309644077599998</v>
      </c>
      <c r="K24" s="121"/>
      <c r="L24" s="67">
        <f>[1]!b_stm07_is(L14,9,L13,1)/100000000</f>
        <v>17.671044756600001</v>
      </c>
      <c r="M24" s="67">
        <f>[1]!b_stm07_is(M14,9,M13,1)/100000000</f>
        <v>33.514927803799999</v>
      </c>
      <c r="N24" s="67">
        <f>[1]!b_stm07_is(N14,9,N13,1)/100000000</f>
        <v>565.38919713400003</v>
      </c>
      <c r="O24" s="67">
        <f>[1]!b_stm07_is(O14,9,O13,1)/100000000</f>
        <v>194.96769509419997</v>
      </c>
      <c r="P24" s="67">
        <f>[1]!b_stm07_is(P14,9,P13,1)/100000000</f>
        <v>401.25815016510001</v>
      </c>
      <c r="Q24" s="67">
        <f>[1]!b_stm07_is(Q14,9,Q13,1)/100000000</f>
        <v>2.5643690118999998</v>
      </c>
      <c r="R24" s="67">
        <f>[1]!b_stm07_is(R14,9,R13,1)/100000000</f>
        <v>75.296076247800002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0.77629999999999999</v>
      </c>
      <c r="K25" s="121"/>
      <c r="L25" s="11">
        <f>[1]!s_fa_salescashintoor(L14,L13)%</f>
        <v>1.0766</v>
      </c>
      <c r="M25" s="11">
        <f>[1]!s_fa_salescashintoor(M14,M13)%</f>
        <v>0.58309999999999995</v>
      </c>
      <c r="N25" s="11">
        <f>[1]!s_fa_salescashintoor(N14,N13)%</f>
        <v>1.1088</v>
      </c>
      <c r="O25" s="11">
        <f>[1]!s_fa_salescashintoor(O14,O13)%</f>
        <v>0.54949999999999999</v>
      </c>
      <c r="P25" s="11">
        <f>[1]!s_fa_salescashintoor(P14,P13)%</f>
        <v>1.0604</v>
      </c>
      <c r="Q25" s="11">
        <f>[1]!s_fa_salescashintoor(Q14,Q13)%</f>
        <v>1.0725</v>
      </c>
      <c r="R25" s="11">
        <f>[1]!s_fa_salescashintoor(R14,R13)%</f>
        <v>0.92579999999999996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0.28610800000000003</v>
      </c>
      <c r="K26" s="121"/>
      <c r="L26" s="11">
        <f>[1]!s_fa_grossprofitmargin(L14,L13)%</f>
        <v>0.34942899999999999</v>
      </c>
      <c r="M26" s="11">
        <f>[1]!s_fa_grossprofitmargin(M14,M13)%</f>
        <v>0.43214599999999997</v>
      </c>
      <c r="N26" s="11">
        <f>[1]!s_fa_grossprofitmargin(N14,N13)%</f>
        <v>0.18872800000000001</v>
      </c>
      <c r="O26" s="11">
        <f>[1]!s_fa_grossprofitmargin(O14,O13)%</f>
        <v>0.11808</v>
      </c>
      <c r="P26" s="11">
        <f>[1]!s_fa_grossprofitmargin(P14,P13)%</f>
        <v>0.15259600000000001</v>
      </c>
      <c r="Q26" s="11">
        <f>[1]!s_fa_grossprofitmargin(Q14,Q13)%</f>
        <v>-0.34636099999999997</v>
      </c>
      <c r="R26" s="11">
        <f>[1]!s_fa_grossprofitmargin(R14,R13)%</f>
        <v>0.27970400000000001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7.2886245974000001</v>
      </c>
      <c r="K27" s="121"/>
      <c r="L27" s="68">
        <f>[1]!b_stm07_is(L14,60,L13,1)/100000000</f>
        <v>7.2905765455999996</v>
      </c>
      <c r="M27" s="68">
        <f>[1]!b_stm07_is(M14,60,M13,1)/100000000</f>
        <v>16.4085019579</v>
      </c>
      <c r="N27" s="68">
        <f>[1]!b_stm07_is(N14,60,N13,1)/100000000</f>
        <v>48.550318961899997</v>
      </c>
      <c r="O27" s="68">
        <f>[1]!b_stm07_is(O14,60,O13,1)/100000000</f>
        <v>6.2083092128999997</v>
      </c>
      <c r="P27" s="68">
        <f>[1]!b_stm07_is(P14,60,P13,1)/100000000</f>
        <v>15.606656649200001</v>
      </c>
      <c r="Q27" s="68">
        <f>[1]!b_stm07_is(Q14,60,Q13,1)/100000000</f>
        <v>0.28467990929999998</v>
      </c>
      <c r="R27" s="68">
        <f>[1]!b_stm07_is(R14,60,R13,1)/100000000</f>
        <v>20.0022552125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1.1035E-2</v>
      </c>
      <c r="K28" s="121"/>
      <c r="L28" s="10">
        <f>[1]!s_fa_roe(L14,L13)%</f>
        <v>3.8674E-2</v>
      </c>
      <c r="M28" s="10">
        <f>[1]!s_fa_roe(M14,M13)%</f>
        <v>6.2802999999999998E-2</v>
      </c>
      <c r="N28" s="10">
        <f>[1]!s_fa_roe(N14,N13)%</f>
        <v>4.8792000000000002E-2</v>
      </c>
      <c r="O28" s="10">
        <f>[1]!s_fa_roe(O14,O13)%</f>
        <v>1.7788999999999999E-2</v>
      </c>
      <c r="P28" s="10">
        <f>[1]!s_fa_roe(P14,P13)%</f>
        <v>8.3169000000000007E-2</v>
      </c>
      <c r="Q28" s="10">
        <f>[1]!s_fa_roe(Q14,Q13)%</f>
        <v>1.552E-3</v>
      </c>
      <c r="R28" s="10">
        <f>[1]!s_fa_roe(R14,R13)%</f>
        <v>9.1216000000000005E-2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6.4356349247000004</v>
      </c>
      <c r="K29" s="121"/>
      <c r="L29" s="68">
        <f>[1]!b_stm07_cs(L14,39,L13,1)/100000000</f>
        <v>6.1987532303999995</v>
      </c>
      <c r="M29" s="68">
        <f>[1]!b_stm07_cs(M14,39,M13,1)/100000000</f>
        <v>-14.8151566223</v>
      </c>
      <c r="N29" s="68">
        <f>[1]!b_stm07_cs(N14,39,N13,1)/100000000</f>
        <v>141.20528116239998</v>
      </c>
      <c r="O29" s="68">
        <f>[1]!b_stm07_cs(O14,39,O13,1)/100000000</f>
        <v>18.443473417500002</v>
      </c>
      <c r="P29" s="68">
        <f>[1]!b_stm07_cs(P14,39,P13,1)/100000000</f>
        <v>-1.9361679000999998</v>
      </c>
      <c r="Q29" s="68">
        <f>[1]!b_stm07_cs(Q14,39,Q13,1)/100000000</f>
        <v>-11.9320015401</v>
      </c>
      <c r="R29" s="68">
        <f>[1]!b_stm07_cs(R14,39,R13,1)/100000000</f>
        <v>-127.66410389959999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5512182769.0799999</v>
      </c>
      <c r="K96" s="70"/>
      <c r="L96" s="70">
        <f>[1]!b_stm07_bs(L14,75,L13,1)</f>
        <v>4466000000</v>
      </c>
      <c r="M96" s="70">
        <f>[1]!b_stm07_bs(M14,75,M13,1)</f>
        <v>29518228.399999999</v>
      </c>
      <c r="N96" s="70">
        <f>[1]!b_stm07_bs(N14,75,N13,1)</f>
        <v>10991130917.809999</v>
      </c>
      <c r="O96" s="70">
        <f>[1]!b_stm07_bs(O14,75,O13,1)</f>
        <v>4701760000</v>
      </c>
      <c r="P96" s="70">
        <f>[1]!b_stm07_bs(P14,75,P13,1)</f>
        <v>6809397155.5699997</v>
      </c>
      <c r="Q96" s="70">
        <f>[1]!b_stm07_bs(Q14,75,Q13,1)</f>
        <v>2300000000</v>
      </c>
      <c r="R96" s="70">
        <f>[1]!b_stm07_bs(R14,75,R13,1)</f>
        <v>3992724773.04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41986890.609999999</v>
      </c>
      <c r="K97" s="70"/>
      <c r="L97" s="70">
        <f>[1]!b_stm07_bs(L14,82,L13,1)</f>
        <v>233477397.06999999</v>
      </c>
      <c r="M97" s="70">
        <f>[1]!b_stm07_bs(M14,82,M13,1)</f>
        <v>296348995.44999999</v>
      </c>
      <c r="N97" s="70">
        <f>[1]!b_stm07_bs(N14,82,N13,1)</f>
        <v>3646043877.2800002</v>
      </c>
      <c r="O97" s="70">
        <f>[1]!b_stm07_bs(O14,82,O13,1)</f>
        <v>210941415.25</v>
      </c>
      <c r="P97" s="70">
        <f>[1]!b_stm07_bs(P14,82,P13,1)</f>
        <v>7232651.2599999998</v>
      </c>
      <c r="Q97" s="70">
        <f>[1]!b_stm07_bs(Q14,82,Q13,1)</f>
        <v>45365223.759999998</v>
      </c>
      <c r="R97" s="70">
        <f>[1]!b_stm07_bs(R14,82,R13,1)</f>
        <v>157270519.80000001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5370808108.5</v>
      </c>
      <c r="K98" s="70"/>
      <c r="L98" s="70">
        <f>[1]!b_stm07_bs(L14,88,L13,1)</f>
        <v>1689970000</v>
      </c>
      <c r="M98" s="70">
        <f>[1]!b_stm07_bs(M14,88,M13,1)</f>
        <v>4542248232.6199999</v>
      </c>
      <c r="N98" s="70">
        <f>[1]!b_stm07_bs(N14,88,N13,1)</f>
        <v>4896424258.6899996</v>
      </c>
      <c r="O98" s="70">
        <f>[1]!b_stm07_bs(O14,88,O13,1)</f>
        <v>4546648245.1899996</v>
      </c>
      <c r="P98" s="70">
        <f>[1]!b_stm07_bs(P14,88,P13,1)</f>
        <v>216171586.25999999</v>
      </c>
      <c r="Q98" s="70">
        <f>[1]!b_stm07_bs(Q14,88,Q13,1)</f>
        <v>1066726889.14</v>
      </c>
      <c r="R98" s="70">
        <f>[1]!b_stm07_bs(R14,88,R13,1)</f>
        <v>5400100943.1099997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40496618674.970001</v>
      </c>
      <c r="K100" s="70"/>
      <c r="L100" s="70">
        <f>[1]!b_stm07_bs(L14,94,L13,1)</f>
        <v>8847098639.9699993</v>
      </c>
      <c r="M100" s="70">
        <f>[1]!b_stm07_bs(M14,94,M13,1)</f>
        <v>16154950000</v>
      </c>
      <c r="N100" s="70">
        <f>[1]!b_stm07_bs(N14,94,N13,1)</f>
        <v>95854172738.419998</v>
      </c>
      <c r="O100" s="70">
        <f>[1]!b_stm07_bs(O14,94,O13,1)</f>
        <v>6836292447.29</v>
      </c>
      <c r="P100" s="70">
        <f>[1]!b_stm07_bs(P14,94,P13,1)</f>
        <v>5933083005.1700001</v>
      </c>
      <c r="Q100" s="70">
        <f>[1]!b_stm07_bs(Q14,94,Q13,1)</f>
        <v>21461250000</v>
      </c>
      <c r="R100" s="70">
        <f>[1]!b_stm07_bs(R14,94,R13,1)</f>
        <v>17951542725.779999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18922183246.529999</v>
      </c>
      <c r="K101" s="70"/>
      <c r="L101" s="70">
        <f>[1]!b_stm07_bs(L14,95,L13,1)</f>
        <v>14893114477.02</v>
      </c>
      <c r="M101" s="70">
        <f>[1]!b_stm07_bs(M14,95,M13,1)</f>
        <v>13198245838.76</v>
      </c>
      <c r="N101" s="70">
        <f>[1]!b_stm07_bs(N14,95,N13,1)</f>
        <v>72096813334.820007</v>
      </c>
      <c r="O101" s="70">
        <f>[1]!b_stm07_bs(O14,95,O13,1)</f>
        <v>3692646549.8200002</v>
      </c>
      <c r="P101" s="70">
        <f>[1]!b_stm07_bs(P14,95,P13,1)</f>
        <v>8947398822.0300007</v>
      </c>
      <c r="Q101" s="70">
        <f>[1]!b_stm07_bs(Q14,95,Q13,1)</f>
        <v>2000000000</v>
      </c>
      <c r="R101" s="70">
        <f>[1]!b_stm07_bs(R14,95,R13,1)</f>
        <v>5896545284.1800003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62575287752.339996</v>
      </c>
      <c r="K103" s="70"/>
      <c r="L103" s="70">
        <f>[1]!b_stm07_bs(L14,141,L13,1)</f>
        <v>20653902114.990002</v>
      </c>
      <c r="M103" s="70">
        <f>[1]!b_stm07_bs(M14,141,M13,1)</f>
        <v>31087182194.360001</v>
      </c>
      <c r="N103" s="70">
        <f>[1]!b_stm07_bs(N14,141,N13,1)</f>
        <v>155521235602.89999</v>
      </c>
      <c r="O103" s="70">
        <f>[1]!b_stm07_bs(O14,141,O13,1)</f>
        <v>21566302726.389999</v>
      </c>
      <c r="P103" s="70">
        <f>[1]!b_stm07_bs(P14,141,P13,1)</f>
        <v>25679312247.52</v>
      </c>
      <c r="Q103" s="70">
        <f>[1]!b_stm07_bs(Q14,141,Q13,1)</f>
        <v>26585966666.540001</v>
      </c>
      <c r="R103" s="70">
        <f>[1]!b_stm07_bs(R14,141,R13,1)</f>
        <v>29337412699.509998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d19041607.IB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0.64062200000000002</v>
      </c>
      <c r="C109" s="54" t="s">
        <v>36</v>
      </c>
      <c r="D109" s="71">
        <f>[1]!s_fa_current(A2,B2)</f>
        <v>2.9315000000000002</v>
      </c>
      <c r="E109" s="54" t="s">
        <v>41</v>
      </c>
      <c r="F109" s="72">
        <f>[1]!s_fa_salescashintoor(A2,B2)/100</f>
        <v>0.77629999999999999</v>
      </c>
      <c r="G109" s="54" t="s">
        <v>42</v>
      </c>
      <c r="H109" s="12">
        <f>S109/100</f>
        <v>0.28610800000000003</v>
      </c>
      <c r="I109" s="54"/>
      <c r="J109" s="16"/>
      <c r="K109" s="25"/>
      <c r="L109" s="34" t="s">
        <v>61</v>
      </c>
      <c r="M109" s="73">
        <f>[1]!s_fa_debttoassets(A2,B2)</f>
        <v>64.062200000000004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28.610800000000001</v>
      </c>
    </row>
    <row r="110" spans="1:19" ht="15.75" customHeight="1" x14ac:dyDescent="0.25">
      <c r="A110" s="54" t="s">
        <v>62</v>
      </c>
      <c r="B110" s="12">
        <f>M110/100</f>
        <v>0.41806500000000002</v>
      </c>
      <c r="C110" s="54" t="s">
        <v>63</v>
      </c>
      <c r="D110" s="72">
        <f>[1]!s_fa_quick(A2,B2)</f>
        <v>2.5924999999999998</v>
      </c>
      <c r="E110" s="54" t="s">
        <v>64</v>
      </c>
      <c r="F110" s="71">
        <f>[1]!s_fa_arturn(A2,B2)</f>
        <v>4.2977999999999996</v>
      </c>
      <c r="G110" s="54" t="s">
        <v>65</v>
      </c>
      <c r="H110" s="12">
        <f>S110/100</f>
        <v>0.173372</v>
      </c>
      <c r="I110" s="54"/>
      <c r="J110" s="16"/>
      <c r="L110" s="54" t="s">
        <v>62</v>
      </c>
      <c r="M110" s="73">
        <f>[1]!s_fa_catoassets(A2,B2)</f>
        <v>41.8065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17.337199999999999</v>
      </c>
    </row>
    <row r="111" spans="1:19" ht="15" customHeight="1" x14ac:dyDescent="0.25">
      <c r="A111" s="54" t="s">
        <v>66</v>
      </c>
      <c r="B111" s="12">
        <f>M111/100</f>
        <v>0.22261600000000001</v>
      </c>
      <c r="C111" s="54" t="s">
        <v>39</v>
      </c>
      <c r="D111" s="72">
        <f>[1]!s_fa_ebitdatodebt(A2,B2)</f>
        <v>3.1899999999999998E-2</v>
      </c>
      <c r="E111" s="54" t="s">
        <v>67</v>
      </c>
      <c r="F111" s="71">
        <f>[1]!s_fa_invturn(A2,B2)</f>
        <v>0.55430000000000001</v>
      </c>
      <c r="G111" s="54" t="s">
        <v>45</v>
      </c>
      <c r="H111" s="12">
        <f>S111/100</f>
        <v>1.1035E-2</v>
      </c>
      <c r="I111" s="54"/>
      <c r="J111" s="16"/>
      <c r="L111" s="54" t="s">
        <v>66</v>
      </c>
      <c r="M111" s="73">
        <f>[1]!s_fa_currentdebttodebt(A2,B2)</f>
        <v>22.261600000000001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1.1034999999999999</v>
      </c>
    </row>
    <row r="112" spans="1:19" ht="14.25" customHeight="1" x14ac:dyDescent="0.25">
      <c r="A112" s="54" t="s">
        <v>38</v>
      </c>
      <c r="B112" s="75">
        <f>(M116+M117+M118+M119+M120+M121)/M123</f>
        <v>1.1241463238346756</v>
      </c>
      <c r="C112" s="54" t="s">
        <v>68</v>
      </c>
      <c r="D112" s="72">
        <f>[1]!s_fa_ebittointerest(A2,B2)</f>
        <v>1.6371</v>
      </c>
      <c r="E112" s="54" t="s">
        <v>69</v>
      </c>
      <c r="F112" s="71">
        <f>[1]!s_fa_caturn(A2,B2)</f>
        <v>0.1082</v>
      </c>
      <c r="G112" s="54" t="s">
        <v>70</v>
      </c>
      <c r="H112" s="12">
        <f>S112/100</f>
        <v>1.9817999999999999E-2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1.9818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4.4499999999999998E-2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5512182769.0799999</v>
      </c>
    </row>
    <row r="117" spans="1:21" ht="14.25" customHeight="1" x14ac:dyDescent="0.25">
      <c r="A117" s="54" t="s">
        <v>77</v>
      </c>
      <c r="B117" s="72">
        <f t="shared" ref="B117:B131" si="1">M127/100000000</f>
        <v>171.2538189066</v>
      </c>
      <c r="C117" s="54" t="s">
        <v>78</v>
      </c>
      <c r="D117" s="75">
        <f t="shared" ref="D117:D125" si="2">O127/100000000</f>
        <v>71.309644077599998</v>
      </c>
      <c r="E117" s="128" t="s">
        <v>79</v>
      </c>
      <c r="F117" s="121"/>
      <c r="G117" s="121"/>
      <c r="H117" s="129">
        <f t="shared" ref="H117:H131" si="3">S127/100000000</f>
        <v>55.360416543900001</v>
      </c>
      <c r="I117" s="121"/>
      <c r="J117" s="121"/>
      <c r="L117" s="17" t="s">
        <v>48</v>
      </c>
      <c r="M117" s="70">
        <f>[1]!b_stm07_bs(K107,82,L107,1)</f>
        <v>41986890.609999999</v>
      </c>
    </row>
    <row r="118" spans="1:21" ht="14.25" customHeight="1" x14ac:dyDescent="0.25">
      <c r="A118" s="54" t="s">
        <v>80</v>
      </c>
      <c r="B118" s="72">
        <f t="shared" si="1"/>
        <v>24.642124377800002</v>
      </c>
      <c r="C118" s="54" t="s">
        <v>81</v>
      </c>
      <c r="D118" s="75">
        <f t="shared" si="2"/>
        <v>77.5107339849</v>
      </c>
      <c r="E118" s="128" t="s">
        <v>82</v>
      </c>
      <c r="F118" s="121"/>
      <c r="G118" s="121"/>
      <c r="H118" s="129">
        <f t="shared" si="3"/>
        <v>10.0650505668</v>
      </c>
      <c r="I118" s="121"/>
      <c r="J118" s="121"/>
      <c r="L118" s="17" t="s">
        <v>49</v>
      </c>
      <c r="M118" s="70">
        <f>[1]!b_stm07_bs(K107,88,L107,1)</f>
        <v>5370808108.5</v>
      </c>
    </row>
    <row r="119" spans="1:21" ht="14.25" customHeight="1" x14ac:dyDescent="0.25">
      <c r="A119" s="54" t="s">
        <v>83</v>
      </c>
      <c r="B119" s="72">
        <f t="shared" si="1"/>
        <v>258.3766703416</v>
      </c>
      <c r="C119" s="54" t="s">
        <v>84</v>
      </c>
      <c r="D119" s="75">
        <f t="shared" si="2"/>
        <v>50.907419789799995</v>
      </c>
      <c r="E119" s="128" t="s">
        <v>85</v>
      </c>
      <c r="F119" s="121"/>
      <c r="G119" s="121"/>
      <c r="H119" s="130">
        <f t="shared" si="3"/>
        <v>66.702505805200005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97.012364426600001</v>
      </c>
      <c r="C120" s="54" t="s">
        <v>87</v>
      </c>
      <c r="D120" s="75">
        <f t="shared" si="2"/>
        <v>0.57502649459999999</v>
      </c>
      <c r="E120" s="128" t="s">
        <v>88</v>
      </c>
      <c r="F120" s="121"/>
      <c r="G120" s="121"/>
      <c r="H120" s="129">
        <f t="shared" si="3"/>
        <v>35.397673262800005</v>
      </c>
      <c r="I120" s="121"/>
      <c r="J120" s="121"/>
      <c r="L120" s="17" t="s">
        <v>51</v>
      </c>
      <c r="M120" s="70">
        <f>[1]!b_stm07_bs(K107,94,L107,1)</f>
        <v>40496618674.970001</v>
      </c>
    </row>
    <row r="121" spans="1:21" ht="14.25" customHeight="1" x14ac:dyDescent="0.25">
      <c r="A121" s="54" t="s">
        <v>89</v>
      </c>
      <c r="B121" s="72">
        <f t="shared" si="1"/>
        <v>305.39403445919999</v>
      </c>
      <c r="C121" s="54" t="s">
        <v>90</v>
      </c>
      <c r="D121" s="75">
        <f t="shared" si="2"/>
        <v>5.0191468654999998</v>
      </c>
      <c r="E121" s="128" t="s">
        <v>91</v>
      </c>
      <c r="F121" s="121"/>
      <c r="G121" s="121"/>
      <c r="H121" s="129">
        <f t="shared" si="3"/>
        <v>9.8182412155999987</v>
      </c>
      <c r="I121" s="121"/>
      <c r="J121" s="121"/>
      <c r="L121" s="17" t="s">
        <v>52</v>
      </c>
      <c r="M121" s="70">
        <f>[1]!b_stm07_bs(K107,95,L107,1)</f>
        <v>18922183246.529999</v>
      </c>
    </row>
    <row r="122" spans="1:21" ht="14.25" customHeight="1" x14ac:dyDescent="0.25">
      <c r="A122" s="54" t="s">
        <v>92</v>
      </c>
      <c r="B122" s="72">
        <f t="shared" si="1"/>
        <v>2.8874564012000001</v>
      </c>
      <c r="C122" s="54" t="s">
        <v>93</v>
      </c>
      <c r="D122" s="75">
        <f t="shared" si="2"/>
        <v>19.519796423800003</v>
      </c>
      <c r="E122" s="128" t="s">
        <v>94</v>
      </c>
      <c r="F122" s="121"/>
      <c r="G122" s="121"/>
      <c r="H122" s="130">
        <f t="shared" si="3"/>
        <v>60.266870880500001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1741.2116339728</v>
      </c>
      <c r="C123" s="54" t="s">
        <v>96</v>
      </c>
      <c r="D123" s="75">
        <f t="shared" si="2"/>
        <v>12.363095465999999</v>
      </c>
      <c r="E123" s="128" t="s">
        <v>97</v>
      </c>
      <c r="F123" s="121"/>
      <c r="G123" s="121"/>
      <c r="H123" s="130">
        <f t="shared" si="3"/>
        <v>6.4356349247000004</v>
      </c>
      <c r="I123" s="121"/>
      <c r="J123" s="121"/>
      <c r="L123" s="17" t="s">
        <v>53</v>
      </c>
      <c r="M123" s="70">
        <f>[1]!b_stm07_bs(K107,141,L107,1)</f>
        <v>62575287752.339996</v>
      </c>
    </row>
    <row r="124" spans="1:21" ht="14.25" customHeight="1" x14ac:dyDescent="0.25">
      <c r="A124" s="54" t="s">
        <v>98</v>
      </c>
      <c r="B124" s="72">
        <f t="shared" si="1"/>
        <v>55.121827690799996</v>
      </c>
      <c r="C124" s="54" t="s">
        <v>99</v>
      </c>
      <c r="D124" s="75">
        <f t="shared" si="2"/>
        <v>12.350283170599999</v>
      </c>
      <c r="E124" s="128" t="s">
        <v>100</v>
      </c>
      <c r="F124" s="121"/>
      <c r="G124" s="121"/>
      <c r="H124" s="130">
        <f t="shared" si="3"/>
        <v>-186.60359732250001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53.708081085000003</v>
      </c>
      <c r="C125" s="54" t="s">
        <v>43</v>
      </c>
      <c r="D125" s="75">
        <f t="shared" si="2"/>
        <v>7.2886245974000001</v>
      </c>
      <c r="E125" s="128" t="s">
        <v>102</v>
      </c>
      <c r="F125" s="121"/>
      <c r="G125" s="121"/>
      <c r="H125" s="129">
        <f t="shared" si="3"/>
        <v>44.978327999999998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322.36762631759996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404.9661867497</v>
      </c>
      <c r="C127" s="54"/>
      <c r="D127" s="79"/>
      <c r="E127" s="128" t="s">
        <v>106</v>
      </c>
      <c r="F127" s="121"/>
      <c r="G127" s="121"/>
      <c r="H127" s="129">
        <f t="shared" si="3"/>
        <v>117.2736</v>
      </c>
      <c r="I127" s="121"/>
      <c r="J127" s="121"/>
      <c r="L127" s="54" t="s">
        <v>77</v>
      </c>
      <c r="M127" s="74">
        <f>[1]!b_stm07_bs(K107,9,L107,1)</f>
        <v>17125381890.66</v>
      </c>
      <c r="N127" s="54" t="s">
        <v>78</v>
      </c>
      <c r="O127" s="74">
        <f>[1]!b_stm07_is(K107,83,L107,1)</f>
        <v>7130964407.7600002</v>
      </c>
      <c r="P127" s="128" t="s">
        <v>79</v>
      </c>
      <c r="Q127" s="121"/>
      <c r="R127" s="121"/>
      <c r="S127" s="133">
        <f>[1]!b_stm07_cs(K107,9,L107,1)</f>
        <v>5536041654.3900003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189.2218324653</v>
      </c>
      <c r="C128" s="54"/>
      <c r="D128" s="79"/>
      <c r="E128" s="128" t="s">
        <v>108</v>
      </c>
      <c r="F128" s="121"/>
      <c r="G128" s="121"/>
      <c r="H128" s="130">
        <f t="shared" si="3"/>
        <v>638.10389158969997</v>
      </c>
      <c r="I128" s="121"/>
      <c r="J128" s="121"/>
      <c r="L128" s="54" t="s">
        <v>80</v>
      </c>
      <c r="M128" s="74">
        <f>[1]!b_stm07_bs(K107,12,L107,1)</f>
        <v>2464212437.7800002</v>
      </c>
      <c r="N128" s="54" t="s">
        <v>81</v>
      </c>
      <c r="O128" s="74">
        <f>[1]!b_stm07_is(K107,84,L107,1)</f>
        <v>7751073398.4899998</v>
      </c>
      <c r="P128" s="128" t="s">
        <v>82</v>
      </c>
      <c r="Q128" s="121"/>
      <c r="R128" s="121"/>
      <c r="S128" s="133">
        <f>[1]!b_stm07_cs(K107,11,L107,1)</f>
        <v>1006505056.6799999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1115.4587564494</v>
      </c>
      <c r="C129" s="14"/>
      <c r="D129" s="13"/>
      <c r="E129" s="128" t="s">
        <v>110</v>
      </c>
      <c r="F129" s="121"/>
      <c r="G129" s="121"/>
      <c r="H129" s="129">
        <f t="shared" si="3"/>
        <v>233.87669195660001</v>
      </c>
      <c r="I129" s="121"/>
      <c r="J129" s="121"/>
      <c r="L129" s="54" t="s">
        <v>83</v>
      </c>
      <c r="M129" s="74">
        <f>[1]!b_stm07_bs(K107,13,L107,1)</f>
        <v>25837667034.16</v>
      </c>
      <c r="N129" s="54" t="s">
        <v>84</v>
      </c>
      <c r="O129" s="74">
        <f>[1]!b_stm07_is(K107,10,L107,1)</f>
        <v>5090741978.9799995</v>
      </c>
      <c r="P129" s="128" t="s">
        <v>85</v>
      </c>
      <c r="Q129" s="121"/>
      <c r="R129" s="121"/>
      <c r="S129" s="134">
        <f>[1]!b_stm07_cs(K107,25,L107,1)</f>
        <v>6670250580.5200005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625.7528775234</v>
      </c>
      <c r="C130" s="14"/>
      <c r="D130" s="13"/>
      <c r="E130" s="128" t="s">
        <v>112</v>
      </c>
      <c r="F130" s="121"/>
      <c r="G130" s="121"/>
      <c r="H130" s="129">
        <f t="shared" si="3"/>
        <v>397.34999706349998</v>
      </c>
      <c r="I130" s="121"/>
      <c r="J130" s="121"/>
      <c r="L130" s="54" t="s">
        <v>86</v>
      </c>
      <c r="M130" s="74">
        <f>[1]!b_stm07_bs(K107,31,L107,1)</f>
        <v>9701236442.6599998</v>
      </c>
      <c r="N130" s="54" t="s">
        <v>87</v>
      </c>
      <c r="O130" s="74">
        <f>[1]!b_stm07_is(K107,12,L107,1)</f>
        <v>57502649.460000001</v>
      </c>
      <c r="P130" s="128" t="s">
        <v>88</v>
      </c>
      <c r="Q130" s="121"/>
      <c r="R130" s="121"/>
      <c r="S130" s="133">
        <f>[1]!b_stm07_cs(K107,26,L107,1)</f>
        <v>3539767326.2800002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1741.2116339728</v>
      </c>
      <c r="C131" s="14"/>
      <c r="D131" s="13"/>
      <c r="E131" s="128" t="s">
        <v>114</v>
      </c>
      <c r="F131" s="121"/>
      <c r="G131" s="121"/>
      <c r="H131" s="130">
        <f t="shared" si="3"/>
        <v>240.75389452619999</v>
      </c>
      <c r="I131" s="121"/>
      <c r="J131" s="121"/>
      <c r="L131" s="54" t="s">
        <v>89</v>
      </c>
      <c r="M131" s="74">
        <f>[1]!b_stm07_bs(K107,33,L107,1)</f>
        <v>30539403445.919998</v>
      </c>
      <c r="N131" s="54" t="s">
        <v>90</v>
      </c>
      <c r="O131" s="74">
        <f>[1]!b_stm07_is(K107,13,L107,1)</f>
        <v>501914686.55000001</v>
      </c>
      <c r="P131" s="128" t="s">
        <v>91</v>
      </c>
      <c r="Q131" s="121"/>
      <c r="R131" s="121"/>
      <c r="S131" s="133">
        <f>[1]!b_stm07_cs(K107,29,L107,1)</f>
        <v>981824121.55999994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288745640.12</v>
      </c>
      <c r="N132" s="54" t="s">
        <v>93</v>
      </c>
      <c r="O132" s="74">
        <f>[1]!b_stm07_is(K107,14,L107,1)</f>
        <v>1951979642.3800001</v>
      </c>
      <c r="P132" s="128" t="s">
        <v>94</v>
      </c>
      <c r="Q132" s="121"/>
      <c r="R132" s="121"/>
      <c r="S132" s="134">
        <f>[1]!b_stm07_cs(K107,37,L107,1)</f>
        <v>6026687088.0500002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174121163397.28</v>
      </c>
      <c r="N133" s="54" t="s">
        <v>96</v>
      </c>
      <c r="O133" s="74">
        <f>[1]!b_stm07_is(K107,48,L107,1)</f>
        <v>1236309546.5999999</v>
      </c>
      <c r="P133" s="128" t="s">
        <v>97</v>
      </c>
      <c r="Q133" s="121"/>
      <c r="R133" s="121"/>
      <c r="S133" s="134">
        <f>[1]!b_stm07_cs(K107,39,L107,1)</f>
        <v>643563492.47000003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5512182769.0799999</v>
      </c>
      <c r="N134" s="54" t="s">
        <v>99</v>
      </c>
      <c r="O134" s="74">
        <f>[1]!b_stm07_is(K107,55,L107,1)</f>
        <v>1235028317.0599999</v>
      </c>
      <c r="P134" s="128" t="s">
        <v>100</v>
      </c>
      <c r="Q134" s="121"/>
      <c r="R134" s="121"/>
      <c r="S134" s="134">
        <f>[1]!b_stm07_cs(K107,59,L107,1)</f>
        <v>-18660359732.25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5370808108.5</v>
      </c>
      <c r="N135" s="54" t="s">
        <v>43</v>
      </c>
      <c r="O135" s="74">
        <f>[1]!b_stm07_is(K107,60,L107,1)</f>
        <v>728862459.74000001</v>
      </c>
      <c r="P135" s="128" t="s">
        <v>102</v>
      </c>
      <c r="Q135" s="121"/>
      <c r="R135" s="121"/>
      <c r="S135" s="133">
        <f>[1]!b_stm07_cs(K107,60,L107,1)</f>
        <v>4497832800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32236762631.759998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40496618674.970001</v>
      </c>
      <c r="N137" s="54"/>
      <c r="O137" s="79"/>
      <c r="P137" s="128" t="s">
        <v>106</v>
      </c>
      <c r="Q137" s="121"/>
      <c r="R137" s="121"/>
      <c r="S137" s="133">
        <f>[1]!b_stm07_cs(K107,63,L107,1)</f>
        <v>11727360000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18922183246.529999</v>
      </c>
      <c r="N138" s="54"/>
      <c r="O138" s="79"/>
      <c r="P138" s="128" t="s">
        <v>108</v>
      </c>
      <c r="Q138" s="121"/>
      <c r="R138" s="121"/>
      <c r="S138" s="134">
        <f>[1]!b_stm07_cs(K107,68,L107,1)</f>
        <v>63810389158.970001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111545875644.94</v>
      </c>
      <c r="N139" s="14"/>
      <c r="O139" s="13"/>
      <c r="P139" s="128" t="s">
        <v>110</v>
      </c>
      <c r="Q139" s="121"/>
      <c r="R139" s="121"/>
      <c r="S139" s="133">
        <f>[1]!b_stm07_cs(K107,69,L107,1)</f>
        <v>23387669195.66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62575287752.339996</v>
      </c>
      <c r="N140" s="14"/>
      <c r="O140" s="13"/>
      <c r="P140" s="128" t="s">
        <v>112</v>
      </c>
      <c r="Q140" s="121"/>
      <c r="R140" s="121"/>
      <c r="S140" s="133">
        <f>[1]!b_stm07_cs(K107,75,L107,1)</f>
        <v>39734999706.349998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174121163397.28</v>
      </c>
      <c r="N141" s="14"/>
      <c r="O141" s="13"/>
      <c r="P141" s="128" t="s">
        <v>114</v>
      </c>
      <c r="Q141" s="121"/>
      <c r="R141" s="121"/>
      <c r="S141" s="134">
        <f>[1]!b_stm07_cs(K107,77,L107,1)</f>
        <v>24075389452.619999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321</v>
      </c>
      <c r="C2" s="117"/>
      <c r="D2" s="57" t="s">
        <v>3</v>
      </c>
      <c r="E2" s="116" t="s">
        <v>322</v>
      </c>
      <c r="F2" s="117"/>
      <c r="G2" s="117"/>
    </row>
    <row r="3" spans="1:12" ht="14.25" customHeight="1" x14ac:dyDescent="0.25">
      <c r="A3" s="57" t="s">
        <v>4</v>
      </c>
      <c r="B3" s="116" t="s">
        <v>323</v>
      </c>
      <c r="C3" s="117"/>
      <c r="D3" s="57" t="s">
        <v>5</v>
      </c>
      <c r="E3" s="116" t="s">
        <v>324</v>
      </c>
      <c r="F3" s="117"/>
      <c r="G3" s="117"/>
    </row>
    <row r="4" spans="1:12" ht="113.25" customHeight="1" x14ac:dyDescent="0.25">
      <c r="A4" s="57" t="s">
        <v>6</v>
      </c>
      <c r="B4" s="118" t="s">
        <v>325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326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116</v>
      </c>
      <c r="B6" s="137" t="s">
        <v>327</v>
      </c>
      <c r="C6" s="117"/>
      <c r="D6" s="117"/>
      <c r="E6" s="117"/>
      <c r="F6" s="138" t="s">
        <v>327</v>
      </c>
      <c r="G6" s="117"/>
    </row>
    <row r="7" spans="1:12" ht="11.25" customHeight="1" x14ac:dyDescent="0.25">
      <c r="A7" s="81" t="s">
        <v>117</v>
      </c>
      <c r="B7" s="137" t="s">
        <v>327</v>
      </c>
      <c r="C7" s="117"/>
      <c r="D7" s="117"/>
      <c r="E7" s="117"/>
      <c r="F7" s="138" t="s">
        <v>327</v>
      </c>
      <c r="G7" s="117"/>
    </row>
    <row r="8" spans="1:12" ht="11.25" customHeight="1" x14ac:dyDescent="0.25">
      <c r="A8" s="81" t="s">
        <v>118</v>
      </c>
      <c r="B8" s="137" t="s">
        <v>327</v>
      </c>
      <c r="C8" s="117"/>
      <c r="D8" s="117"/>
      <c r="E8" s="117"/>
      <c r="F8" s="138" t="s">
        <v>327</v>
      </c>
      <c r="G8" s="117"/>
    </row>
    <row r="9" spans="1:12" ht="11.25" customHeight="1" x14ac:dyDescent="0.25">
      <c r="A9" s="81" t="s">
        <v>119</v>
      </c>
      <c r="B9" s="137" t="s">
        <v>327</v>
      </c>
      <c r="C9" s="117"/>
      <c r="D9" s="117"/>
      <c r="E9" s="117"/>
      <c r="F9" s="138" t="s">
        <v>327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4.38</v>
      </c>
      <c r="E13" s="63">
        <v>4.9398907103825138</v>
      </c>
      <c r="F13" s="64" t="s">
        <v>25</v>
      </c>
      <c r="G13" s="63">
        <v>15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4.99</v>
      </c>
      <c r="E14" s="82">
        <v>4.9234972677595632</v>
      </c>
      <c r="F14">
        <v>0</v>
      </c>
      <c r="G14" s="63">
        <v>10</v>
      </c>
    </row>
    <row r="15" spans="1:12" ht="14.4" customHeight="1" x14ac:dyDescent="0.25">
      <c r="A15" t="s">
        <v>127</v>
      </c>
      <c r="B15" t="s">
        <v>125</v>
      </c>
      <c r="C15" t="s">
        <v>128</v>
      </c>
      <c r="D15" s="63">
        <v>3.1</v>
      </c>
      <c r="E15" s="82">
        <v>0.17260273972602741</v>
      </c>
      <c r="F15">
        <v>0</v>
      </c>
      <c r="G15" s="63">
        <v>10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3">
        <v>4.8499999999999996</v>
      </c>
      <c r="E16" s="82">
        <v>4.8852459016393439</v>
      </c>
      <c r="F16">
        <v>0</v>
      </c>
      <c r="G16" s="63">
        <v>10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3">
        <v>3.24</v>
      </c>
      <c r="E17" s="82">
        <v>0.18904109589041096</v>
      </c>
      <c r="F17">
        <v>0</v>
      </c>
      <c r="G17" s="63">
        <v>15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3">
        <v>5.17</v>
      </c>
      <c r="E18" s="82">
        <v>4.6438356164383565</v>
      </c>
      <c r="F18" t="s">
        <v>25</v>
      </c>
      <c r="G18" s="63">
        <v>10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3">
        <v>4.38</v>
      </c>
      <c r="E19" s="82">
        <v>9.5972602739726032</v>
      </c>
      <c r="F19" t="s">
        <v>25</v>
      </c>
      <c r="G19" s="63">
        <v>15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5.5</v>
      </c>
      <c r="E20" s="82">
        <v>4.5397260273972604</v>
      </c>
      <c r="F20" t="s">
        <v>25</v>
      </c>
      <c r="G20" s="63">
        <v>20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3.71</v>
      </c>
      <c r="E21" s="82">
        <v>0.26301369863013696</v>
      </c>
      <c r="F21">
        <v>0</v>
      </c>
      <c r="G21" s="63">
        <v>10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3">
        <v>5.36</v>
      </c>
      <c r="E22" s="82">
        <v>2.452054794520548</v>
      </c>
      <c r="F22" t="s">
        <v>25</v>
      </c>
      <c r="G22" s="63">
        <v>20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3">
        <v>3.8</v>
      </c>
      <c r="E23" s="82">
        <v>0</v>
      </c>
      <c r="F23">
        <v>0</v>
      </c>
      <c r="G23" s="63">
        <v>5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3.9</v>
      </c>
      <c r="E24" s="82">
        <v>0</v>
      </c>
      <c r="F24">
        <v>0</v>
      </c>
      <c r="G24" s="63">
        <v>10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3">
        <v>3.3</v>
      </c>
      <c r="E25" s="82">
        <v>0</v>
      </c>
      <c r="F25">
        <v>0</v>
      </c>
      <c r="G25" s="63">
        <v>10</v>
      </c>
    </row>
    <row r="26" spans="1:7" ht="14.4" customHeight="1" x14ac:dyDescent="0.25">
      <c r="A26" t="s">
        <v>159</v>
      </c>
      <c r="B26" t="s">
        <v>160</v>
      </c>
      <c r="C26" t="s">
        <v>161</v>
      </c>
      <c r="D26" s="63">
        <v>5.6</v>
      </c>
      <c r="E26" s="82">
        <v>4.2767123287671236</v>
      </c>
      <c r="F26">
        <v>0</v>
      </c>
      <c r="G26" s="63">
        <v>17.5</v>
      </c>
    </row>
    <row r="27" spans="1:7" ht="14.4" customHeight="1" x14ac:dyDescent="0.25">
      <c r="A27" t="s">
        <v>162</v>
      </c>
      <c r="B27" t="s">
        <v>163</v>
      </c>
      <c r="C27" t="s">
        <v>164</v>
      </c>
      <c r="D27" s="63">
        <v>5.65</v>
      </c>
      <c r="E27" s="82">
        <v>4.043835616438356</v>
      </c>
      <c r="F27">
        <v>0</v>
      </c>
      <c r="G27" s="63">
        <v>9.5</v>
      </c>
    </row>
    <row r="28" spans="1:7" ht="14.4" customHeight="1" x14ac:dyDescent="0.25">
      <c r="A28" t="s">
        <v>165</v>
      </c>
      <c r="B28" t="s">
        <v>163</v>
      </c>
      <c r="C28" t="s">
        <v>166</v>
      </c>
      <c r="D28" s="63">
        <v>6</v>
      </c>
      <c r="E28" s="82">
        <v>4.043835616438356</v>
      </c>
      <c r="F28">
        <v>0</v>
      </c>
      <c r="G28" s="63">
        <v>2.5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63">
        <v>5.66</v>
      </c>
      <c r="E29" s="82">
        <v>2.021917808219178</v>
      </c>
      <c r="F29">
        <v>0</v>
      </c>
      <c r="G29" s="63">
        <v>20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63">
        <v>4.5199999999999996</v>
      </c>
      <c r="E30" s="82">
        <v>0</v>
      </c>
      <c r="F30">
        <v>0</v>
      </c>
      <c r="G30" s="63">
        <v>12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63">
        <v>5.98</v>
      </c>
      <c r="E31" s="82">
        <v>1.9153005464480874</v>
      </c>
      <c r="F31">
        <v>0</v>
      </c>
      <c r="G31" s="63">
        <v>20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63">
        <v>5.0999999999999996</v>
      </c>
      <c r="E32" s="82">
        <v>0</v>
      </c>
      <c r="F32">
        <v>0</v>
      </c>
      <c r="G32" s="63">
        <v>13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63">
        <v>4.9000000000000004</v>
      </c>
      <c r="E33" s="82">
        <v>0</v>
      </c>
      <c r="F33">
        <v>0</v>
      </c>
      <c r="G33" s="63">
        <v>15</v>
      </c>
    </row>
    <row r="34" spans="1:7" ht="14.4" customHeight="1" x14ac:dyDescent="0.25">
      <c r="A34" t="s">
        <v>182</v>
      </c>
      <c r="B34" t="s">
        <v>183</v>
      </c>
      <c r="C34" t="s">
        <v>184</v>
      </c>
      <c r="D34" s="63">
        <v>5.66</v>
      </c>
      <c r="E34" s="82">
        <v>6.5424657534246577</v>
      </c>
      <c r="F34">
        <v>0</v>
      </c>
      <c r="G34" s="63">
        <v>20</v>
      </c>
    </row>
    <row r="35" spans="1:7" ht="14.4" customHeight="1" x14ac:dyDescent="0.25">
      <c r="A35" t="s">
        <v>185</v>
      </c>
      <c r="B35" t="s">
        <v>183</v>
      </c>
      <c r="C35" t="s">
        <v>186</v>
      </c>
      <c r="D35" s="63">
        <v>5.35</v>
      </c>
      <c r="E35" s="82">
        <v>3.5424657534246577</v>
      </c>
      <c r="F35">
        <v>0</v>
      </c>
      <c r="G35" s="63">
        <v>10</v>
      </c>
    </row>
    <row r="36" spans="1:7" ht="14.4" customHeight="1" x14ac:dyDescent="0.25">
      <c r="A36" t="s">
        <v>187</v>
      </c>
      <c r="B36" t="s">
        <v>188</v>
      </c>
      <c r="C36" t="s">
        <v>189</v>
      </c>
      <c r="D36" s="63">
        <v>4.6500000000000004</v>
      </c>
      <c r="E36" s="82">
        <v>0</v>
      </c>
      <c r="F36">
        <v>0</v>
      </c>
      <c r="G36" s="63">
        <v>10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63">
        <v>3.68</v>
      </c>
      <c r="E37" s="82">
        <v>5.5095890410958903</v>
      </c>
      <c r="F37">
        <v>0</v>
      </c>
      <c r="G37" s="63">
        <v>30</v>
      </c>
    </row>
    <row r="38" spans="1:7" ht="14.4" customHeight="1" x14ac:dyDescent="0.25">
      <c r="A38" t="s">
        <v>193</v>
      </c>
      <c r="B38" t="s">
        <v>194</v>
      </c>
      <c r="C38" t="s">
        <v>195</v>
      </c>
      <c r="D38" s="63">
        <v>4.42</v>
      </c>
      <c r="E38" s="82">
        <v>2.0684931506849313</v>
      </c>
      <c r="F38" t="s">
        <v>25</v>
      </c>
      <c r="G38" s="63">
        <v>15</v>
      </c>
    </row>
    <row r="39" spans="1:7" ht="14.4" customHeight="1" x14ac:dyDescent="0.25">
      <c r="A39" t="s">
        <v>196</v>
      </c>
      <c r="B39" t="s">
        <v>197</v>
      </c>
      <c r="C39" t="s">
        <v>198</v>
      </c>
      <c r="D39" s="63">
        <v>4.4000000000000004</v>
      </c>
      <c r="E39" s="82">
        <v>1.6356164383561644</v>
      </c>
      <c r="F39">
        <v>0</v>
      </c>
      <c r="G39" s="63">
        <v>10</v>
      </c>
    </row>
    <row r="40" spans="1:7" ht="14.4" customHeight="1" x14ac:dyDescent="0.25">
      <c r="A40" t="s">
        <v>199</v>
      </c>
      <c r="B40" t="s">
        <v>200</v>
      </c>
      <c r="C40" t="s">
        <v>201</v>
      </c>
      <c r="D40" s="63">
        <v>3.43</v>
      </c>
      <c r="E40" s="82">
        <v>0</v>
      </c>
      <c r="F40" t="s">
        <v>328</v>
      </c>
      <c r="G40" s="63">
        <v>20</v>
      </c>
    </row>
    <row r="41" spans="1:7" ht="14.4" customHeight="1" x14ac:dyDescent="0.25">
      <c r="A41" t="s">
        <v>202</v>
      </c>
      <c r="B41" t="s">
        <v>203</v>
      </c>
      <c r="C41" t="s">
        <v>204</v>
      </c>
      <c r="D41" s="63">
        <v>3.28</v>
      </c>
      <c r="E41" s="82">
        <v>0</v>
      </c>
      <c r="F41" t="s">
        <v>328</v>
      </c>
      <c r="G41" s="63">
        <v>10</v>
      </c>
    </row>
    <row r="42" spans="1:7" ht="14.4" customHeight="1" x14ac:dyDescent="0.25">
      <c r="A42" t="s">
        <v>205</v>
      </c>
      <c r="B42" t="s">
        <v>206</v>
      </c>
      <c r="C42" t="s">
        <v>207</v>
      </c>
      <c r="D42" s="63">
        <v>4.95</v>
      </c>
      <c r="E42" s="82">
        <v>0</v>
      </c>
      <c r="F42" t="s">
        <v>328</v>
      </c>
      <c r="G42" s="63">
        <v>10</v>
      </c>
    </row>
    <row r="43" spans="1:7" ht="14.4" customHeight="1" x14ac:dyDescent="0.25">
      <c r="A43" t="s">
        <v>208</v>
      </c>
      <c r="B43" t="s">
        <v>209</v>
      </c>
      <c r="C43" t="s">
        <v>210</v>
      </c>
      <c r="D43" s="63">
        <v>6.8</v>
      </c>
      <c r="E43" s="82">
        <v>0</v>
      </c>
      <c r="F43">
        <v>0</v>
      </c>
      <c r="G43" s="63">
        <v>10</v>
      </c>
    </row>
    <row r="44" spans="1:7" ht="14.4" customHeight="1" x14ac:dyDescent="0.25">
      <c r="A44" t="s">
        <v>211</v>
      </c>
      <c r="B44" t="s">
        <v>212</v>
      </c>
      <c r="C44" t="s">
        <v>213</v>
      </c>
      <c r="D44" s="63">
        <v>5.18</v>
      </c>
      <c r="E44" s="82">
        <v>0</v>
      </c>
      <c r="F44" t="s">
        <v>328</v>
      </c>
      <c r="G44" s="63">
        <v>10</v>
      </c>
    </row>
    <row r="45" spans="1:7" ht="14.4" customHeight="1" x14ac:dyDescent="0.25">
      <c r="A45" t="s">
        <v>214</v>
      </c>
      <c r="B45" t="s">
        <v>215</v>
      </c>
      <c r="C45" t="s">
        <v>216</v>
      </c>
      <c r="D45" s="63">
        <v>7.3</v>
      </c>
      <c r="E45" s="82">
        <v>0</v>
      </c>
      <c r="F45">
        <v>0</v>
      </c>
      <c r="G45" s="63">
        <v>10</v>
      </c>
    </row>
    <row r="46" spans="1:7" ht="14.4" customHeight="1" x14ac:dyDescent="0.25">
      <c r="A46" t="s">
        <v>217</v>
      </c>
      <c r="B46" t="s">
        <v>218</v>
      </c>
      <c r="C46" t="s">
        <v>219</v>
      </c>
      <c r="D46" s="63">
        <v>6.8</v>
      </c>
      <c r="E46" s="82">
        <v>0</v>
      </c>
      <c r="F46" t="s">
        <v>328</v>
      </c>
      <c r="G46" s="63">
        <v>20</v>
      </c>
    </row>
    <row r="47" spans="1:7" ht="14.4" customHeight="1" x14ac:dyDescent="0.25">
      <c r="A47" t="s">
        <v>220</v>
      </c>
      <c r="B47" t="s">
        <v>221</v>
      </c>
      <c r="C47" t="s">
        <v>222</v>
      </c>
      <c r="D47" s="63">
        <v>5.2</v>
      </c>
      <c r="E47" s="82">
        <v>0</v>
      </c>
      <c r="F47" t="s">
        <v>25</v>
      </c>
      <c r="G47" s="63">
        <v>10</v>
      </c>
    </row>
    <row r="48" spans="1:7" ht="14.4" customHeight="1" x14ac:dyDescent="0.25">
      <c r="A48" t="s">
        <v>223</v>
      </c>
      <c r="B48" t="s">
        <v>224</v>
      </c>
      <c r="C48" t="s">
        <v>225</v>
      </c>
      <c r="D48" s="63">
        <v>4.3</v>
      </c>
      <c r="E48" s="82">
        <v>0</v>
      </c>
      <c r="F48" t="s">
        <v>328</v>
      </c>
      <c r="G48" s="63">
        <v>10</v>
      </c>
    </row>
    <row r="49" spans="1:7" ht="14.4" customHeight="1" x14ac:dyDescent="0.25">
      <c r="A49" t="s">
        <v>226</v>
      </c>
      <c r="B49" t="s">
        <v>227</v>
      </c>
      <c r="C49" t="s">
        <v>228</v>
      </c>
      <c r="D49" s="63">
        <v>4.7</v>
      </c>
      <c r="E49" s="82">
        <v>0</v>
      </c>
      <c r="F49" t="s">
        <v>328</v>
      </c>
      <c r="G49" s="63">
        <v>10</v>
      </c>
    </row>
    <row r="50" spans="1:7" ht="14.4" customHeight="1" x14ac:dyDescent="0.25">
      <c r="A50" t="s">
        <v>229</v>
      </c>
      <c r="B50" t="s">
        <v>230</v>
      </c>
      <c r="C50" t="s">
        <v>231</v>
      </c>
      <c r="D50" s="63">
        <v>5.45</v>
      </c>
      <c r="E50" s="82">
        <v>0</v>
      </c>
      <c r="F50" t="s">
        <v>25</v>
      </c>
      <c r="G50" s="63">
        <v>20</v>
      </c>
    </row>
    <row r="51" spans="1:7" ht="14.4" customHeight="1" x14ac:dyDescent="0.25">
      <c r="A51" t="s">
        <v>232</v>
      </c>
      <c r="B51" t="s">
        <v>233</v>
      </c>
      <c r="C51" t="s">
        <v>234</v>
      </c>
      <c r="D51" s="63">
        <v>6.89</v>
      </c>
      <c r="E51" s="82">
        <v>0</v>
      </c>
      <c r="F51" t="s">
        <v>25</v>
      </c>
      <c r="G51" s="63">
        <v>8.4</v>
      </c>
    </row>
    <row r="52" spans="1:7" ht="14.4" customHeight="1" x14ac:dyDescent="0.25">
      <c r="A52" t="s">
        <v>235</v>
      </c>
      <c r="B52" t="s">
        <v>233</v>
      </c>
      <c r="C52" t="s">
        <v>236</v>
      </c>
      <c r="D52" s="63">
        <v>6.19</v>
      </c>
      <c r="E52" s="82">
        <v>0</v>
      </c>
      <c r="F52" t="s">
        <v>25</v>
      </c>
      <c r="G52" s="63">
        <v>8.6</v>
      </c>
    </row>
    <row r="53" spans="1:7" ht="14.4" customHeight="1" x14ac:dyDescent="0.25">
      <c r="A53" t="s">
        <v>237</v>
      </c>
      <c r="C53" t="s">
        <v>238</v>
      </c>
      <c r="D53" s="63"/>
      <c r="E53" s="82">
        <v>0</v>
      </c>
      <c r="F53">
        <v>0</v>
      </c>
      <c r="G53" s="63">
        <v>0</v>
      </c>
    </row>
    <row r="54" spans="1:7" ht="14.4" customHeight="1" x14ac:dyDescent="0.25">
      <c r="A54" t="s">
        <v>239</v>
      </c>
      <c r="C54" t="s">
        <v>240</v>
      </c>
      <c r="D54" s="63"/>
      <c r="E54" s="82">
        <v>0</v>
      </c>
      <c r="F54" t="s">
        <v>25</v>
      </c>
      <c r="G54" s="63">
        <v>0</v>
      </c>
    </row>
    <row r="55" spans="1:7" ht="14.4" customHeight="1" x14ac:dyDescent="0.25">
      <c r="A55" t="s">
        <v>241</v>
      </c>
      <c r="C55" t="s">
        <v>242</v>
      </c>
      <c r="D55" s="63"/>
      <c r="E55" s="82">
        <v>0</v>
      </c>
      <c r="F55" t="s">
        <v>25</v>
      </c>
      <c r="G55" s="63">
        <v>0</v>
      </c>
    </row>
    <row r="56" spans="1:7" ht="14.4" customHeight="1" x14ac:dyDescent="0.25">
      <c r="D56" s="63"/>
      <c r="E56" s="82"/>
      <c r="G56" s="63"/>
    </row>
    <row r="57" spans="1:7" ht="14.4" customHeight="1" x14ac:dyDescent="0.25">
      <c r="D57" s="63"/>
      <c r="E57" s="82"/>
      <c r="G57" s="63"/>
    </row>
    <row r="58" spans="1:7" ht="14.4" customHeight="1" x14ac:dyDescent="0.25">
      <c r="D58" s="63"/>
      <c r="E58" s="82"/>
      <c r="G58" s="63"/>
    </row>
    <row r="59" spans="1:7" ht="14.4" customHeight="1" x14ac:dyDescent="0.25">
      <c r="D59" s="63"/>
      <c r="E59" s="82"/>
      <c r="G59" s="63"/>
    </row>
    <row r="60" spans="1:7" ht="14.4" customHeight="1" x14ac:dyDescent="0.25">
      <c r="D60" s="63"/>
      <c r="E60" s="82"/>
      <c r="G60" s="63"/>
    </row>
    <row r="61" spans="1:7" ht="14.4" customHeight="1" x14ac:dyDescent="0.25">
      <c r="A61" s="140" t="s">
        <v>243</v>
      </c>
      <c r="B61" s="140"/>
      <c r="C61" s="140"/>
      <c r="D61" s="140"/>
      <c r="E61" s="82"/>
      <c r="G61" s="63"/>
    </row>
    <row r="62" spans="1:7" ht="14.4" customHeight="1" x14ac:dyDescent="0.25">
      <c r="A62" s="83" t="s">
        <v>244</v>
      </c>
      <c r="B62" s="83" t="s">
        <v>245</v>
      </c>
      <c r="C62" s="83" t="s">
        <v>246</v>
      </c>
      <c r="D62" s="84" t="s">
        <v>247</v>
      </c>
      <c r="E62" s="82"/>
      <c r="G62" s="63"/>
    </row>
    <row r="63" spans="1:7" ht="14.4" customHeight="1" x14ac:dyDescent="0.25">
      <c r="A63" t="s">
        <v>248</v>
      </c>
      <c r="B63" t="s">
        <v>25</v>
      </c>
      <c r="C63" t="s">
        <v>249</v>
      </c>
      <c r="D63" s="63" t="s">
        <v>250</v>
      </c>
      <c r="E63" s="82"/>
      <c r="G63" s="63"/>
    </row>
    <row r="64" spans="1:7" ht="14.4" customHeight="1" x14ac:dyDescent="0.25">
      <c r="A64" t="s">
        <v>251</v>
      </c>
      <c r="B64" t="s">
        <v>25</v>
      </c>
      <c r="C64" t="s">
        <v>249</v>
      </c>
      <c r="D64" s="63" t="s">
        <v>252</v>
      </c>
      <c r="E64" s="82"/>
      <c r="G64" s="63"/>
    </row>
    <row r="65" spans="1:7" ht="14.4" customHeight="1" x14ac:dyDescent="0.25">
      <c r="A65" t="s">
        <v>253</v>
      </c>
      <c r="B65" t="s">
        <v>25</v>
      </c>
      <c r="C65" t="s">
        <v>249</v>
      </c>
      <c r="D65" s="63" t="s">
        <v>254</v>
      </c>
      <c r="E65" s="82"/>
      <c r="G65" s="63"/>
    </row>
    <row r="66" spans="1:7" ht="14.4" customHeight="1" x14ac:dyDescent="0.25">
      <c r="A66" t="s">
        <v>145</v>
      </c>
      <c r="B66" t="s">
        <v>25</v>
      </c>
      <c r="C66" t="s">
        <v>249</v>
      </c>
      <c r="D66" s="63" t="s">
        <v>250</v>
      </c>
      <c r="E66" s="82"/>
      <c r="G66" s="63"/>
    </row>
    <row r="67" spans="1:7" ht="14.4" customHeight="1" x14ac:dyDescent="0.25">
      <c r="A67" t="s">
        <v>255</v>
      </c>
      <c r="B67" t="s">
        <v>25</v>
      </c>
      <c r="C67" t="s">
        <v>249</v>
      </c>
      <c r="D67" s="63" t="s">
        <v>254</v>
      </c>
      <c r="E67" s="82"/>
      <c r="G67" s="63"/>
    </row>
    <row r="68" spans="1:7" ht="14.4" customHeight="1" x14ac:dyDescent="0.25">
      <c r="A68" t="s">
        <v>256</v>
      </c>
      <c r="B68" t="s">
        <v>25</v>
      </c>
      <c r="C68" t="s">
        <v>249</v>
      </c>
      <c r="D68" s="63" t="s">
        <v>254</v>
      </c>
      <c r="E68" s="82"/>
      <c r="G68" s="63"/>
    </row>
    <row r="69" spans="1:7" ht="14.4" customHeight="1" x14ac:dyDescent="0.25">
      <c r="A69" t="s">
        <v>257</v>
      </c>
      <c r="B69" t="s">
        <v>25</v>
      </c>
      <c r="C69" t="s">
        <v>249</v>
      </c>
      <c r="D69" s="63" t="s">
        <v>254</v>
      </c>
      <c r="E69" s="82"/>
      <c r="G69" s="63"/>
    </row>
    <row r="70" spans="1:7" ht="14.4" customHeight="1" x14ac:dyDescent="0.25">
      <c r="A70" t="s">
        <v>258</v>
      </c>
      <c r="B70" t="s">
        <v>25</v>
      </c>
      <c r="C70" t="s">
        <v>249</v>
      </c>
      <c r="D70" s="63" t="s">
        <v>254</v>
      </c>
      <c r="E70" s="82"/>
      <c r="G70" s="63"/>
    </row>
    <row r="71" spans="1:7" ht="14.4" customHeight="1" x14ac:dyDescent="0.25">
      <c r="A71" t="s">
        <v>259</v>
      </c>
      <c r="B71" t="s">
        <v>25</v>
      </c>
      <c r="C71" t="s">
        <v>249</v>
      </c>
      <c r="D71" s="63" t="s">
        <v>254</v>
      </c>
      <c r="E71" s="82"/>
      <c r="G71" s="63"/>
    </row>
    <row r="72" spans="1:7" ht="14.4" customHeight="1" x14ac:dyDescent="0.25">
      <c r="A72" t="s">
        <v>260</v>
      </c>
      <c r="B72" t="s">
        <v>25</v>
      </c>
      <c r="C72" t="s">
        <v>249</v>
      </c>
      <c r="D72" s="63" t="s">
        <v>254</v>
      </c>
      <c r="E72" s="82"/>
      <c r="G72" s="63"/>
    </row>
    <row r="73" spans="1:7" ht="14.4" customHeight="1" x14ac:dyDescent="0.25">
      <c r="A73" t="s">
        <v>261</v>
      </c>
      <c r="B73" t="s">
        <v>25</v>
      </c>
      <c r="C73" t="s">
        <v>249</v>
      </c>
      <c r="D73" s="63" t="s">
        <v>254</v>
      </c>
      <c r="E73" s="82"/>
      <c r="G73" s="63"/>
    </row>
    <row r="74" spans="1:7" ht="14.4" customHeight="1" x14ac:dyDescent="0.25">
      <c r="A74" t="s">
        <v>262</v>
      </c>
      <c r="B74" t="s">
        <v>25</v>
      </c>
      <c r="C74" t="s">
        <v>249</v>
      </c>
      <c r="D74" s="63" t="s">
        <v>254</v>
      </c>
      <c r="E74" s="82"/>
      <c r="G74" s="63"/>
    </row>
    <row r="75" spans="1:7" ht="14.4" customHeight="1" x14ac:dyDescent="0.25">
      <c r="A75" t="s">
        <v>263</v>
      </c>
      <c r="B75" t="s">
        <v>25</v>
      </c>
      <c r="C75" t="s">
        <v>249</v>
      </c>
      <c r="D75" s="63" t="s">
        <v>254</v>
      </c>
      <c r="E75" s="82"/>
      <c r="G75" s="63"/>
    </row>
    <row r="76" spans="1:7" ht="14.4" customHeight="1" x14ac:dyDescent="0.25">
      <c r="A76" t="s">
        <v>264</v>
      </c>
      <c r="B76" t="s">
        <v>25</v>
      </c>
      <c r="C76" t="s">
        <v>249</v>
      </c>
      <c r="D76" s="63" t="s">
        <v>254</v>
      </c>
      <c r="E76" s="82"/>
      <c r="G76" s="63"/>
    </row>
    <row r="77" spans="1:7" ht="14.4" customHeight="1" x14ac:dyDescent="0.25">
      <c r="A77" t="s">
        <v>265</v>
      </c>
      <c r="B77" t="s">
        <v>25</v>
      </c>
      <c r="C77" t="s">
        <v>249</v>
      </c>
      <c r="D77" s="63" t="s">
        <v>254</v>
      </c>
      <c r="E77" s="82"/>
      <c r="G77" s="63"/>
    </row>
    <row r="78" spans="1:7" ht="14.4" customHeight="1" x14ac:dyDescent="0.25">
      <c r="A78" t="s">
        <v>266</v>
      </c>
      <c r="B78" t="s">
        <v>25</v>
      </c>
      <c r="C78" t="s">
        <v>249</v>
      </c>
      <c r="D78" s="63" t="s">
        <v>254</v>
      </c>
      <c r="E78" s="82"/>
      <c r="G78" s="63"/>
    </row>
    <row r="79" spans="1:7" ht="14.4" customHeight="1" x14ac:dyDescent="0.25">
      <c r="A79" t="s">
        <v>267</v>
      </c>
      <c r="B79" t="s">
        <v>25</v>
      </c>
      <c r="C79" t="s">
        <v>249</v>
      </c>
      <c r="D79" s="63" t="s">
        <v>254</v>
      </c>
      <c r="E79" s="82"/>
      <c r="G79" s="63"/>
    </row>
    <row r="80" spans="1:7" ht="14.4" customHeight="1" x14ac:dyDescent="0.25">
      <c r="A80" t="s">
        <v>268</v>
      </c>
      <c r="B80" t="s">
        <v>25</v>
      </c>
      <c r="C80" t="s">
        <v>249</v>
      </c>
      <c r="D80" s="63" t="s">
        <v>254</v>
      </c>
      <c r="E80" s="82"/>
      <c r="G80" s="63"/>
    </row>
    <row r="81" spans="1:7" ht="14.4" customHeight="1" x14ac:dyDescent="0.25">
      <c r="A81" t="s">
        <v>269</v>
      </c>
      <c r="B81" t="s">
        <v>25</v>
      </c>
      <c r="C81" t="s">
        <v>249</v>
      </c>
      <c r="D81" s="63" t="s">
        <v>254</v>
      </c>
      <c r="E81" s="82"/>
      <c r="G81" s="63"/>
    </row>
    <row r="82" spans="1:7" ht="14.4" customHeight="1" x14ac:dyDescent="0.25">
      <c r="A82" t="s">
        <v>270</v>
      </c>
      <c r="B82" t="s">
        <v>25</v>
      </c>
      <c r="C82" t="s">
        <v>249</v>
      </c>
      <c r="D82" s="63" t="s">
        <v>254</v>
      </c>
      <c r="E82" s="82"/>
      <c r="G82" s="63"/>
    </row>
    <row r="83" spans="1:7" ht="14.4" customHeight="1" x14ac:dyDescent="0.25">
      <c r="A83" t="s">
        <v>271</v>
      </c>
      <c r="B83" t="s">
        <v>25</v>
      </c>
      <c r="C83" t="s">
        <v>249</v>
      </c>
      <c r="D83" s="63" t="s">
        <v>254</v>
      </c>
      <c r="E83" s="82"/>
      <c r="G83" s="63"/>
    </row>
    <row r="84" spans="1:7" ht="14.4" customHeight="1" x14ac:dyDescent="0.25">
      <c r="A84" t="s">
        <v>272</v>
      </c>
      <c r="B84" t="s">
        <v>25</v>
      </c>
      <c r="C84" t="s">
        <v>249</v>
      </c>
      <c r="D84" s="63" t="s">
        <v>254</v>
      </c>
      <c r="E84" s="82"/>
      <c r="G84" s="63"/>
    </row>
    <row r="85" spans="1:7" ht="14.4" customHeight="1" x14ac:dyDescent="0.25">
      <c r="A85" t="s">
        <v>273</v>
      </c>
      <c r="B85" t="s">
        <v>25</v>
      </c>
      <c r="C85" t="s">
        <v>249</v>
      </c>
      <c r="D85" s="63" t="s">
        <v>254</v>
      </c>
      <c r="E85" s="82"/>
      <c r="G85" s="63"/>
    </row>
    <row r="86" spans="1:7" ht="14.4" customHeight="1" x14ac:dyDescent="0.25">
      <c r="D86" s="63"/>
      <c r="E86" s="82"/>
      <c r="G86" s="63"/>
    </row>
    <row r="87" spans="1:7" ht="14.4" customHeight="1" x14ac:dyDescent="0.25">
      <c r="D87" s="63"/>
      <c r="E87" s="82"/>
      <c r="G87" s="63"/>
    </row>
    <row r="88" spans="1:7" ht="14.4" customHeight="1" x14ac:dyDescent="0.25">
      <c r="D88" s="63"/>
      <c r="E88" s="82"/>
      <c r="G88" s="63"/>
    </row>
    <row r="89" spans="1:7" ht="14.4" customHeight="1" x14ac:dyDescent="0.25">
      <c r="D89" s="63"/>
      <c r="E89" s="82"/>
      <c r="G89" s="63"/>
    </row>
    <row r="90" spans="1:7" ht="14.4" customHeight="1" x14ac:dyDescent="0.25">
      <c r="D90" s="63"/>
      <c r="E90" s="82"/>
      <c r="G90" s="63"/>
    </row>
    <row r="91" spans="1:7" ht="14.4" customHeight="1" x14ac:dyDescent="0.25">
      <c r="D91" s="63"/>
      <c r="E91" s="82"/>
      <c r="G91" s="63"/>
    </row>
    <row r="92" spans="1:7" ht="14.4" customHeight="1" x14ac:dyDescent="0.25">
      <c r="D92" s="63"/>
      <c r="E92" s="82"/>
      <c r="G92" s="63"/>
    </row>
    <row r="93" spans="1:7" ht="14.4" customHeight="1" x14ac:dyDescent="0.25">
      <c r="D93" s="63"/>
      <c r="E93" s="82"/>
      <c r="G93" s="63"/>
    </row>
    <row r="94" spans="1:7" ht="14.4" customHeight="1" x14ac:dyDescent="0.25">
      <c r="D94" s="63"/>
      <c r="E94" s="82"/>
      <c r="G94" s="63"/>
    </row>
    <row r="95" spans="1:7" ht="14.4" customHeight="1" x14ac:dyDescent="0.25">
      <c r="D95" s="63"/>
      <c r="E95" s="82"/>
      <c r="G95" s="63"/>
    </row>
    <row r="96" spans="1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61:D6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0.64062200000000002</v>
      </c>
      <c r="C4" s="57" t="s">
        <v>36</v>
      </c>
      <c r="D4" s="86">
        <v>2.9315000000000002</v>
      </c>
      <c r="E4" s="57" t="s">
        <v>41</v>
      </c>
      <c r="F4" s="85">
        <v>0.77629999999999999</v>
      </c>
      <c r="G4" s="57" t="s">
        <v>42</v>
      </c>
      <c r="H4" s="85">
        <v>0.28610800000000003</v>
      </c>
      <c r="I4" s="57"/>
      <c r="J4" s="87"/>
    </row>
    <row r="5" spans="1:10" ht="15.75" customHeight="1" x14ac:dyDescent="0.25">
      <c r="A5" s="57" t="s">
        <v>62</v>
      </c>
      <c r="B5" s="85">
        <v>0.41806500000000002</v>
      </c>
      <c r="C5" s="57" t="s">
        <v>63</v>
      </c>
      <c r="D5" s="86">
        <v>2.5924999999999998</v>
      </c>
      <c r="E5" s="57" t="s">
        <v>64</v>
      </c>
      <c r="F5" s="86">
        <v>4.2977999999999996</v>
      </c>
      <c r="G5" s="57" t="s">
        <v>65</v>
      </c>
      <c r="H5" s="85">
        <v>0.173372</v>
      </c>
      <c r="I5" s="57"/>
      <c r="J5" s="87"/>
    </row>
    <row r="6" spans="1:10" ht="15" customHeight="1" x14ac:dyDescent="0.25">
      <c r="A6" s="57" t="s">
        <v>66</v>
      </c>
      <c r="B6" s="85">
        <v>0.22261600000000001</v>
      </c>
      <c r="C6" s="57" t="s">
        <v>39</v>
      </c>
      <c r="D6" s="88">
        <v>3.1899999999999998E-2</v>
      </c>
      <c r="E6" s="57" t="s">
        <v>67</v>
      </c>
      <c r="F6" s="86">
        <v>0.55430000000000001</v>
      </c>
      <c r="G6" s="57" t="s">
        <v>45</v>
      </c>
      <c r="H6" s="85">
        <v>1.1035E-2</v>
      </c>
      <c r="I6" s="57"/>
      <c r="J6" s="87"/>
    </row>
    <row r="7" spans="1:10" ht="14.25" customHeight="1" x14ac:dyDescent="0.25">
      <c r="A7" s="57" t="s">
        <v>38</v>
      </c>
      <c r="B7" s="88">
        <v>1.1241463238346756</v>
      </c>
      <c r="C7" s="57" t="s">
        <v>68</v>
      </c>
      <c r="D7" s="88">
        <v>1.6371</v>
      </c>
      <c r="E7" s="57" t="s">
        <v>69</v>
      </c>
      <c r="F7" s="86">
        <v>0.1082</v>
      </c>
      <c r="G7" s="57" t="s">
        <v>70</v>
      </c>
      <c r="H7" s="85">
        <v>1.9817999999999999E-2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4.4499999999999998E-2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171.2538189066</v>
      </c>
      <c r="C12" s="57" t="s">
        <v>78</v>
      </c>
      <c r="D12" s="88">
        <v>71.309644077599998</v>
      </c>
      <c r="E12" s="144" t="s">
        <v>79</v>
      </c>
      <c r="F12" s="117"/>
      <c r="G12" s="117"/>
      <c r="H12" s="145">
        <v>55.360416543900001</v>
      </c>
      <c r="I12" s="117"/>
      <c r="J12" s="117"/>
    </row>
    <row r="13" spans="1:10" ht="14.25" customHeight="1" x14ac:dyDescent="0.25">
      <c r="A13" s="57" t="s">
        <v>80</v>
      </c>
      <c r="B13" s="91">
        <v>24.642124377800002</v>
      </c>
      <c r="C13" s="57" t="s">
        <v>81</v>
      </c>
      <c r="D13" s="88">
        <v>77.5107339849</v>
      </c>
      <c r="E13" s="144" t="s">
        <v>82</v>
      </c>
      <c r="F13" s="117"/>
      <c r="G13" s="117"/>
      <c r="H13" s="145">
        <v>10.0650505668</v>
      </c>
      <c r="I13" s="117"/>
      <c r="J13" s="117"/>
    </row>
    <row r="14" spans="1:10" ht="14.25" customHeight="1" x14ac:dyDescent="0.25">
      <c r="A14" s="57" t="s">
        <v>83</v>
      </c>
      <c r="B14" s="91">
        <v>258.3766703416</v>
      </c>
      <c r="C14" s="57" t="s">
        <v>84</v>
      </c>
      <c r="D14" s="88">
        <v>50.907419789799995</v>
      </c>
      <c r="E14" s="144" t="s">
        <v>85</v>
      </c>
      <c r="F14" s="117"/>
      <c r="G14" s="117"/>
      <c r="H14" s="145">
        <v>66.702505805200005</v>
      </c>
      <c r="I14" s="117"/>
      <c r="J14" s="117"/>
    </row>
    <row r="15" spans="1:10" ht="14.25" customHeight="1" x14ac:dyDescent="0.25">
      <c r="A15" s="57" t="s">
        <v>86</v>
      </c>
      <c r="B15" s="91">
        <v>97.012364426600001</v>
      </c>
      <c r="C15" s="57" t="s">
        <v>87</v>
      </c>
      <c r="D15" s="88">
        <v>0.57502649459999999</v>
      </c>
      <c r="E15" s="144" t="s">
        <v>88</v>
      </c>
      <c r="F15" s="117"/>
      <c r="G15" s="117"/>
      <c r="H15" s="145">
        <v>35.397673262800005</v>
      </c>
      <c r="I15" s="117"/>
      <c r="J15" s="117"/>
    </row>
    <row r="16" spans="1:10" ht="14.25" customHeight="1" x14ac:dyDescent="0.25">
      <c r="A16" s="57" t="s">
        <v>89</v>
      </c>
      <c r="B16" s="91">
        <v>305.39403445919999</v>
      </c>
      <c r="C16" s="57" t="s">
        <v>90</v>
      </c>
      <c r="D16" s="88">
        <v>5.0191468654999998</v>
      </c>
      <c r="E16" s="144" t="s">
        <v>91</v>
      </c>
      <c r="F16" s="117"/>
      <c r="G16" s="117"/>
      <c r="H16" s="145">
        <v>9.8182412155999987</v>
      </c>
      <c r="I16" s="117"/>
      <c r="J16" s="117"/>
    </row>
    <row r="17" spans="1:10" ht="14.25" customHeight="1" x14ac:dyDescent="0.25">
      <c r="A17" s="57" t="s">
        <v>92</v>
      </c>
      <c r="B17" s="91">
        <v>2.8874564012000001</v>
      </c>
      <c r="C17" s="57" t="s">
        <v>93</v>
      </c>
      <c r="D17" s="88">
        <v>19.519796423800003</v>
      </c>
      <c r="E17" s="144" t="s">
        <v>94</v>
      </c>
      <c r="F17" s="117"/>
      <c r="G17" s="117"/>
      <c r="H17" s="145">
        <v>60.266870880500001</v>
      </c>
      <c r="I17" s="117"/>
      <c r="J17" s="117"/>
    </row>
    <row r="18" spans="1:10" ht="14.25" customHeight="1" x14ac:dyDescent="0.25">
      <c r="A18" s="57" t="s">
        <v>95</v>
      </c>
      <c r="B18" s="91">
        <v>1741.2116339728</v>
      </c>
      <c r="C18" s="57" t="s">
        <v>96</v>
      </c>
      <c r="D18" s="88">
        <v>12.363095465999999</v>
      </c>
      <c r="E18" s="144" t="s">
        <v>97</v>
      </c>
      <c r="F18" s="117"/>
      <c r="G18" s="117"/>
      <c r="H18" s="145">
        <v>6.4356349247000004</v>
      </c>
      <c r="I18" s="117"/>
      <c r="J18" s="117"/>
    </row>
    <row r="19" spans="1:10" ht="14.25" customHeight="1" x14ac:dyDescent="0.25">
      <c r="A19" s="57" t="s">
        <v>98</v>
      </c>
      <c r="B19" s="91">
        <v>55.121827690799996</v>
      </c>
      <c r="C19" s="57" t="s">
        <v>99</v>
      </c>
      <c r="D19" s="88">
        <v>12.350283170599999</v>
      </c>
      <c r="E19" s="144" t="s">
        <v>100</v>
      </c>
      <c r="F19" s="117"/>
      <c r="G19" s="117"/>
      <c r="H19" s="145">
        <v>-186.60359732250001</v>
      </c>
      <c r="I19" s="117"/>
      <c r="J19" s="117"/>
    </row>
    <row r="20" spans="1:10" ht="27" customHeight="1" x14ac:dyDescent="0.25">
      <c r="A20" s="57" t="s">
        <v>101</v>
      </c>
      <c r="B20" s="91">
        <v>53.708081085000003</v>
      </c>
      <c r="C20" s="57" t="s">
        <v>43</v>
      </c>
      <c r="D20" s="88">
        <v>7.2886245974000001</v>
      </c>
      <c r="E20" s="144" t="s">
        <v>102</v>
      </c>
      <c r="F20" s="117"/>
      <c r="G20" s="117"/>
      <c r="H20" s="145">
        <v>44.978327999999998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322.36762631759996</v>
      </c>
      <c r="I21" s="117"/>
      <c r="J21" s="117"/>
    </row>
    <row r="22" spans="1:10" ht="14.25" customHeight="1" x14ac:dyDescent="0.25">
      <c r="A22" s="57" t="s">
        <v>105</v>
      </c>
      <c r="B22" s="91">
        <v>404.9661867497</v>
      </c>
      <c r="C22" s="57"/>
      <c r="D22" s="92"/>
      <c r="E22" s="144" t="s">
        <v>106</v>
      </c>
      <c r="F22" s="117"/>
      <c r="G22" s="117"/>
      <c r="H22" s="145">
        <v>117.2736</v>
      </c>
      <c r="I22" s="117"/>
      <c r="J22" s="117"/>
    </row>
    <row r="23" spans="1:10" ht="14.25" customHeight="1" x14ac:dyDescent="0.25">
      <c r="A23" s="57" t="s">
        <v>107</v>
      </c>
      <c r="B23" s="91">
        <v>189.2218324653</v>
      </c>
      <c r="C23" s="57"/>
      <c r="D23" s="92"/>
      <c r="E23" s="144" t="s">
        <v>108</v>
      </c>
      <c r="F23" s="117"/>
      <c r="G23" s="117"/>
      <c r="H23" s="145">
        <v>638.10389158969997</v>
      </c>
      <c r="I23" s="117"/>
      <c r="J23" s="117"/>
    </row>
    <row r="24" spans="1:10" ht="14.25" customHeight="1" x14ac:dyDescent="0.25">
      <c r="A24" s="57" t="s">
        <v>109</v>
      </c>
      <c r="B24" s="91">
        <v>1115.4587564494</v>
      </c>
      <c r="C24" s="93"/>
      <c r="D24" s="90"/>
      <c r="E24" s="144" t="s">
        <v>110</v>
      </c>
      <c r="F24" s="117"/>
      <c r="G24" s="117"/>
      <c r="H24" s="145">
        <v>233.87669195660001</v>
      </c>
      <c r="I24" s="117"/>
      <c r="J24" s="117"/>
    </row>
    <row r="25" spans="1:10" ht="14.25" customHeight="1" x14ac:dyDescent="0.25">
      <c r="A25" s="57" t="s">
        <v>111</v>
      </c>
      <c r="B25" s="91">
        <v>625.7528775234</v>
      </c>
      <c r="C25" s="93"/>
      <c r="D25" s="90"/>
      <c r="E25" s="144" t="s">
        <v>112</v>
      </c>
      <c r="F25" s="117"/>
      <c r="G25" s="117"/>
      <c r="H25" s="145">
        <v>397.34999706349998</v>
      </c>
      <c r="I25" s="117"/>
      <c r="J25" s="117"/>
    </row>
    <row r="26" spans="1:10" ht="14.25" customHeight="1" x14ac:dyDescent="0.25">
      <c r="A26" s="94" t="s">
        <v>113</v>
      </c>
      <c r="B26" s="91">
        <v>1741.2116339728</v>
      </c>
      <c r="C26" s="93"/>
      <c r="D26" s="90"/>
      <c r="E26" s="144" t="s">
        <v>114</v>
      </c>
      <c r="F26" s="117"/>
      <c r="G26" s="117"/>
      <c r="H26" s="145">
        <v>240.75389452619999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274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321</v>
      </c>
      <c r="C2" s="43" t="s">
        <v>275</v>
      </c>
      <c r="D2" s="43" t="s">
        <v>329</v>
      </c>
      <c r="E2" s="43" t="s">
        <v>283</v>
      </c>
      <c r="F2" s="43" t="s">
        <v>330</v>
      </c>
      <c r="G2" s="43" t="s">
        <v>331</v>
      </c>
      <c r="H2" s="43" t="s">
        <v>332</v>
      </c>
      <c r="I2" s="43" t="s">
        <v>333</v>
      </c>
      <c r="J2" s="43" t="s">
        <v>334</v>
      </c>
    </row>
    <row r="3" spans="1:10" x14ac:dyDescent="0.25">
      <c r="A3" s="54" t="s">
        <v>24</v>
      </c>
      <c r="B3" s="96" t="s">
        <v>25</v>
      </c>
      <c r="C3" s="97" t="s">
        <v>276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322</v>
      </c>
      <c r="C4" s="97" t="s">
        <v>276</v>
      </c>
      <c r="D4" s="98" t="s">
        <v>322</v>
      </c>
      <c r="E4" s="98" t="s">
        <v>322</v>
      </c>
      <c r="F4" s="98" t="s">
        <v>322</v>
      </c>
      <c r="G4" s="98" t="s">
        <v>322</v>
      </c>
      <c r="H4" s="98" t="s">
        <v>322</v>
      </c>
      <c r="I4" s="98" t="s">
        <v>322</v>
      </c>
      <c r="J4" s="98" t="s">
        <v>322</v>
      </c>
    </row>
    <row r="5" spans="1:10" s="7" customFormat="1" x14ac:dyDescent="0.25">
      <c r="A5" s="9" t="s">
        <v>29</v>
      </c>
      <c r="B5" s="99" t="s">
        <v>30</v>
      </c>
      <c r="C5" s="97" t="s">
        <v>276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1741.2116339728</v>
      </c>
      <c r="C6" s="97">
        <v>1378.4143518040287</v>
      </c>
      <c r="D6" s="100">
        <v>544.91615601770002</v>
      </c>
      <c r="E6" s="100">
        <v>931.77944679559994</v>
      </c>
      <c r="F6" s="100">
        <v>5541.7622265375003</v>
      </c>
      <c r="G6" s="100">
        <v>550.30270411109996</v>
      </c>
      <c r="H6" s="100">
        <v>700.45633787020006</v>
      </c>
      <c r="I6" s="100">
        <v>681.54415430769996</v>
      </c>
      <c r="J6" s="100">
        <v>698.13943698840001</v>
      </c>
    </row>
    <row r="7" spans="1:10" x14ac:dyDescent="0.25">
      <c r="A7" s="54" t="s">
        <v>34</v>
      </c>
      <c r="B7" s="44">
        <v>0.64062200000000002</v>
      </c>
      <c r="C7" s="97">
        <v>0.63398428571428567</v>
      </c>
      <c r="D7" s="44">
        <v>0.62097099999999994</v>
      </c>
      <c r="E7" s="44">
        <v>0.66636799999999996</v>
      </c>
      <c r="F7" s="44">
        <v>0.71936499999999992</v>
      </c>
      <c r="G7" s="44">
        <v>0.608101</v>
      </c>
      <c r="H7" s="44">
        <v>0.63339199999999996</v>
      </c>
      <c r="I7" s="44">
        <v>0.60991600000000001</v>
      </c>
      <c r="J7" s="44">
        <v>0.57977699999999999</v>
      </c>
    </row>
    <row r="8" spans="1:10" x14ac:dyDescent="0.25">
      <c r="A8" s="54" t="s">
        <v>36</v>
      </c>
      <c r="B8" s="100">
        <v>2.9315000000000002</v>
      </c>
      <c r="C8" s="97">
        <v>1.8397000000000003</v>
      </c>
      <c r="D8" s="100">
        <v>1.9651000000000001</v>
      </c>
      <c r="E8" s="100">
        <v>4.8874000000000004</v>
      </c>
      <c r="F8" s="100">
        <v>0.62180000000000002</v>
      </c>
      <c r="G8" s="100">
        <v>0.64149999999999996</v>
      </c>
      <c r="H8" s="100">
        <v>1.4775</v>
      </c>
      <c r="I8" s="100">
        <v>1.2371000000000001</v>
      </c>
      <c r="J8" s="100">
        <v>2.0474999999999999</v>
      </c>
    </row>
    <row r="9" spans="1:10" x14ac:dyDescent="0.25">
      <c r="A9" s="54" t="s">
        <v>38</v>
      </c>
      <c r="B9" s="96">
        <v>1.1241463238346756</v>
      </c>
      <c r="C9" s="97">
        <v>1.0992183086914962</v>
      </c>
      <c r="D9" s="96">
        <v>1.4587878041792774</v>
      </c>
      <c r="E9" s="96">
        <v>1.1008174070353218</v>
      </c>
      <c r="F9" s="96">
        <v>1.2055240199205568</v>
      </c>
      <c r="G9" s="96">
        <v>0.92682964303802362</v>
      </c>
      <c r="H9" s="96">
        <v>0.85334385162150495</v>
      </c>
      <c r="I9" s="96">
        <v>1.0108092908550013</v>
      </c>
      <c r="J9" s="96">
        <v>1.138416144190787</v>
      </c>
    </row>
    <row r="10" spans="1:10" ht="21.6" customHeight="1" x14ac:dyDescent="0.25">
      <c r="A10" s="54" t="s">
        <v>39</v>
      </c>
      <c r="B10" s="100">
        <v>3.1899999999999998E-2</v>
      </c>
      <c r="C10" s="97">
        <v>6.1485714285714289E-2</v>
      </c>
      <c r="D10" s="100">
        <v>6.2700000000000006E-2</v>
      </c>
      <c r="E10" s="100">
        <v>3.3700000000000001E-2</v>
      </c>
      <c r="F10" s="100">
        <v>4.1099999999999998E-2</v>
      </c>
      <c r="G10" s="100">
        <v>0.109</v>
      </c>
      <c r="H10" s="100">
        <v>8.2299999999999998E-2</v>
      </c>
      <c r="I10" s="100">
        <v>1.11E-2</v>
      </c>
      <c r="J10" s="100">
        <v>9.0499999999999997E-2</v>
      </c>
    </row>
    <row r="11" spans="1:10" x14ac:dyDescent="0.25">
      <c r="A11" s="54" t="s">
        <v>40</v>
      </c>
      <c r="B11" s="100">
        <v>71.309644077599998</v>
      </c>
      <c r="C11" s="97">
        <v>184.38020860191429</v>
      </c>
      <c r="D11" s="100">
        <v>17.671044756600001</v>
      </c>
      <c r="E11" s="100">
        <v>33.514927803799999</v>
      </c>
      <c r="F11" s="100">
        <v>565.38919713400003</v>
      </c>
      <c r="G11" s="100">
        <v>194.96769509419997</v>
      </c>
      <c r="H11" s="100">
        <v>401.25815016510001</v>
      </c>
      <c r="I11" s="100">
        <v>2.5643690118999998</v>
      </c>
      <c r="J11" s="100">
        <v>75.296076247800002</v>
      </c>
    </row>
    <row r="12" spans="1:10" s="7" customFormat="1" x14ac:dyDescent="0.25">
      <c r="A12" s="9" t="s">
        <v>41</v>
      </c>
      <c r="B12" s="45">
        <v>0.77629999999999999</v>
      </c>
      <c r="C12" s="97">
        <v>0.9109571428571428</v>
      </c>
      <c r="D12" s="45">
        <v>1.0766</v>
      </c>
      <c r="E12" s="45">
        <v>0.58309999999999995</v>
      </c>
      <c r="F12" s="45">
        <v>1.1088</v>
      </c>
      <c r="G12" s="45">
        <v>0.54949999999999999</v>
      </c>
      <c r="H12" s="45">
        <v>1.0604</v>
      </c>
      <c r="I12" s="45">
        <v>1.0725</v>
      </c>
      <c r="J12" s="45">
        <v>0.92579999999999996</v>
      </c>
    </row>
    <row r="13" spans="1:10" s="7" customFormat="1" x14ac:dyDescent="0.25">
      <c r="A13" s="9" t="s">
        <v>42</v>
      </c>
      <c r="B13" s="45">
        <v>0.28610800000000003</v>
      </c>
      <c r="C13" s="97">
        <v>0.1677602857142857</v>
      </c>
      <c r="D13" s="45">
        <v>0.34942899999999999</v>
      </c>
      <c r="E13" s="45">
        <v>0.43214599999999997</v>
      </c>
      <c r="F13" s="45">
        <v>0.18872800000000001</v>
      </c>
      <c r="G13" s="45">
        <v>0.11808</v>
      </c>
      <c r="H13" s="45">
        <v>0.15259600000000001</v>
      </c>
      <c r="I13" s="45">
        <v>-0.34636099999999997</v>
      </c>
      <c r="J13" s="45">
        <v>0.27970400000000001</v>
      </c>
    </row>
    <row r="14" spans="1:10" s="7" customFormat="1" x14ac:dyDescent="0.25">
      <c r="A14" s="9" t="s">
        <v>43</v>
      </c>
      <c r="B14" s="101">
        <v>7.2886245974000001</v>
      </c>
      <c r="C14" s="97">
        <v>16.335899778471429</v>
      </c>
      <c r="D14" s="101">
        <v>7.2905765455999996</v>
      </c>
      <c r="E14" s="101">
        <v>16.4085019579</v>
      </c>
      <c r="F14" s="101">
        <v>48.550318961899997</v>
      </c>
      <c r="G14" s="101">
        <v>6.2083092128999997</v>
      </c>
      <c r="H14" s="101">
        <v>15.606656649200001</v>
      </c>
      <c r="I14" s="101">
        <v>0.28467990929999998</v>
      </c>
      <c r="J14" s="101">
        <v>20.0022552125</v>
      </c>
    </row>
    <row r="15" spans="1:10" x14ac:dyDescent="0.25">
      <c r="A15" s="54" t="s">
        <v>45</v>
      </c>
      <c r="B15" s="44">
        <v>1.1035E-2</v>
      </c>
      <c r="C15" s="97">
        <v>4.9142142857142856E-2</v>
      </c>
      <c r="D15" s="44">
        <v>3.8674E-2</v>
      </c>
      <c r="E15" s="44">
        <v>6.2802999999999998E-2</v>
      </c>
      <c r="F15" s="44">
        <v>4.8792000000000002E-2</v>
      </c>
      <c r="G15" s="44">
        <v>1.7788999999999999E-2</v>
      </c>
      <c r="H15" s="44">
        <v>8.3169000000000007E-2</v>
      </c>
      <c r="I15" s="44">
        <v>1.552E-3</v>
      </c>
      <c r="J15" s="44">
        <v>9.1216000000000005E-2</v>
      </c>
    </row>
    <row r="16" spans="1:10" s="7" customFormat="1" ht="25.8" customHeight="1" x14ac:dyDescent="0.25">
      <c r="A16" s="9" t="s">
        <v>46</v>
      </c>
      <c r="B16" s="101">
        <v>6.4356349247000004</v>
      </c>
      <c r="C16" s="97">
        <v>1.3571539783142827</v>
      </c>
      <c r="D16" s="101">
        <v>6.1987532303999995</v>
      </c>
      <c r="E16" s="101">
        <v>-14.8151566223</v>
      </c>
      <c r="F16" s="101">
        <v>141.20528116239998</v>
      </c>
      <c r="G16" s="101">
        <v>18.443473417500002</v>
      </c>
      <c r="H16" s="101">
        <v>-1.9361679000999998</v>
      </c>
      <c r="I16" s="101">
        <v>-11.9320015401</v>
      </c>
      <c r="J16" s="101">
        <v>-127.66410389959999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277</v>
      </c>
      <c r="B1" s="121"/>
      <c r="C1" s="121"/>
      <c r="D1" s="121"/>
      <c r="E1" s="121"/>
      <c r="F1" s="121"/>
    </row>
    <row r="2" spans="1:6" x14ac:dyDescent="0.25">
      <c r="A2" s="51" t="s">
        <v>278</v>
      </c>
      <c r="B2" s="50" t="s">
        <v>279</v>
      </c>
      <c r="C2" s="50" t="s">
        <v>280</v>
      </c>
      <c r="D2" s="50" t="s">
        <v>281</v>
      </c>
      <c r="E2" s="50" t="s">
        <v>247</v>
      </c>
      <c r="F2" s="50" t="s">
        <v>282</v>
      </c>
    </row>
    <row r="3" spans="1:6" ht="48" customHeight="1" x14ac:dyDescent="0.25">
      <c r="A3" s="103">
        <v>43455</v>
      </c>
      <c r="B3" s="52" t="s">
        <v>283</v>
      </c>
      <c r="C3" s="104" t="s">
        <v>284</v>
      </c>
      <c r="D3" s="104"/>
      <c r="E3" s="52" t="s">
        <v>285</v>
      </c>
      <c r="F3" s="104"/>
    </row>
    <row r="4" spans="1:6" ht="49.5" customHeight="1" x14ac:dyDescent="0.25">
      <c r="A4" s="103">
        <v>43270</v>
      </c>
      <c r="B4" s="52" t="s">
        <v>286</v>
      </c>
      <c r="C4" s="104" t="s">
        <v>287</v>
      </c>
      <c r="D4" s="104"/>
      <c r="E4" s="52" t="s">
        <v>288</v>
      </c>
      <c r="F4" s="104" t="s">
        <v>289</v>
      </c>
    </row>
    <row r="5" spans="1:6" ht="68.400000000000006" x14ac:dyDescent="0.25">
      <c r="A5" s="103">
        <v>43256</v>
      </c>
      <c r="B5" s="52" t="s">
        <v>290</v>
      </c>
      <c r="C5" s="104" t="s">
        <v>287</v>
      </c>
      <c r="D5" s="104"/>
      <c r="E5" s="52" t="s">
        <v>291</v>
      </c>
      <c r="F5" s="104" t="s">
        <v>292</v>
      </c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1" spans="1:6" x14ac:dyDescent="0.25">
      <c r="A21" s="140" t="s">
        <v>293</v>
      </c>
      <c r="B21" s="140"/>
      <c r="C21" s="140"/>
      <c r="D21" s="140"/>
      <c r="E21" s="140"/>
      <c r="F21" s="140"/>
    </row>
    <row r="22" spans="1:6" x14ac:dyDescent="0.25">
      <c r="A22" s="83" t="s">
        <v>278</v>
      </c>
      <c r="B22" s="83" t="s">
        <v>279</v>
      </c>
      <c r="C22" s="83" t="s">
        <v>294</v>
      </c>
      <c r="D22" s="83" t="s">
        <v>295</v>
      </c>
      <c r="E22" s="83" t="s">
        <v>247</v>
      </c>
      <c r="F22" s="83" t="s">
        <v>282</v>
      </c>
    </row>
  </sheetData>
  <mergeCells count="2">
    <mergeCell ref="A1:F1"/>
    <mergeCell ref="A21:F2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296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297</v>
      </c>
      <c r="B2" s="55" t="s">
        <v>298</v>
      </c>
      <c r="C2" s="55" t="s">
        <v>299</v>
      </c>
      <c r="D2" s="55" t="s">
        <v>300</v>
      </c>
      <c r="E2" s="55" t="s">
        <v>301</v>
      </c>
      <c r="F2" s="55" t="s">
        <v>302</v>
      </c>
      <c r="G2" s="55" t="s">
        <v>303</v>
      </c>
      <c r="H2" s="55" t="s">
        <v>16</v>
      </c>
      <c r="I2" s="55" t="s">
        <v>304</v>
      </c>
      <c r="J2" s="55" t="s">
        <v>305</v>
      </c>
      <c r="K2" s="55" t="s">
        <v>306</v>
      </c>
      <c r="L2" s="55" t="s">
        <v>307</v>
      </c>
      <c r="M2" s="55" t="s">
        <v>19</v>
      </c>
      <c r="N2" s="55" t="s">
        <v>308</v>
      </c>
      <c r="O2" s="3"/>
      <c r="P2" s="107" t="str">
        <f ca="1">Q2</f>
        <v>2019-04-15</v>
      </c>
      <c r="Q2" s="1" t="str">
        <f ca="1">[1]!td(R2-1)</f>
        <v>2019-04-15</v>
      </c>
      <c r="R2" s="3">
        <f ca="1">TODAY()</f>
        <v>43571</v>
      </c>
    </row>
    <row r="3" spans="1:18" ht="15.75" customHeight="1" x14ac:dyDescent="0.25">
      <c r="A3" s="108" t="str">
        <f>[1]!b_info_name(L3)</f>
        <v>19青岛城投SCP003</v>
      </c>
      <c r="B3" s="2" t="str">
        <f>[1]!b_issue_firstissue(L3)</f>
        <v>2019-04-17</v>
      </c>
      <c r="C3" s="108">
        <f>[1]!b_info_term(L3)</f>
        <v>0.24660000000000001</v>
      </c>
      <c r="D3" s="109" t="str">
        <f>[1]!issuerrating(L3)</f>
        <v>AAA</v>
      </c>
      <c r="E3" s="109" t="str">
        <f>[1]!b_info_creditrating(L3)</f>
        <v>-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309</v>
      </c>
      <c r="I3" s="65"/>
      <c r="J3" s="112" t="s">
        <v>309</v>
      </c>
      <c r="K3" s="113"/>
      <c r="L3" s="41" t="str">
        <f>公式页!A2</f>
        <v>d19041607.IB</v>
      </c>
      <c r="M3" s="111" t="s">
        <v>309</v>
      </c>
      <c r="N3" s="108" t="str">
        <f>[1]!b_agency_leadunderwriter(L3)</f>
        <v>兴业银行股份有限公司,平安银行股份有限公司</v>
      </c>
      <c r="P3" s="106" t="str">
        <f t="shared" ref="P3:P29" ca="1" si="0">$P$2</f>
        <v>2019-04-15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3.7343999999999999</v>
      </c>
      <c r="K4" s="113">
        <f>K3</f>
        <v>0</v>
      </c>
      <c r="L4" s="4" t="s">
        <v>310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2019-04-15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2019-04-15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2019-04-15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2019-04-15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2019-04-15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2019-04-15</v>
      </c>
    </row>
    <row r="10" spans="1:18" x14ac:dyDescent="0.25">
      <c r="P10" s="106" t="str">
        <f t="shared" ca="1" si="0"/>
        <v>2019-04-15</v>
      </c>
    </row>
    <row r="11" spans="1:18" x14ac:dyDescent="0.25">
      <c r="P11" s="106" t="str">
        <f t="shared" ca="1" si="0"/>
        <v>2019-04-15</v>
      </c>
    </row>
    <row r="12" spans="1:18" x14ac:dyDescent="0.25">
      <c r="A12" s="147" t="s">
        <v>311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2019-04-15</v>
      </c>
    </row>
    <row r="13" spans="1:18" s="1" customFormat="1" ht="43.2" customHeight="1" x14ac:dyDescent="0.25">
      <c r="A13" s="55" t="s">
        <v>297</v>
      </c>
      <c r="B13" s="55" t="s">
        <v>298</v>
      </c>
      <c r="C13" s="55" t="s">
        <v>299</v>
      </c>
      <c r="D13" s="55" t="s">
        <v>300</v>
      </c>
      <c r="E13" s="55" t="s">
        <v>301</v>
      </c>
      <c r="F13" s="55" t="s">
        <v>302</v>
      </c>
      <c r="G13" s="55" t="s">
        <v>303</v>
      </c>
      <c r="H13" s="55" t="s">
        <v>16</v>
      </c>
      <c r="I13" s="55" t="s">
        <v>304</v>
      </c>
      <c r="J13" s="55" t="s">
        <v>305</v>
      </c>
      <c r="K13" s="55" t="s">
        <v>306</v>
      </c>
      <c r="L13" s="55" t="s">
        <v>307</v>
      </c>
      <c r="M13" s="55" t="s">
        <v>19</v>
      </c>
      <c r="N13" s="55" t="s">
        <v>308</v>
      </c>
      <c r="P13" s="106" t="str">
        <f t="shared" ca="1" si="0"/>
        <v>2019-04-15</v>
      </c>
    </row>
    <row r="14" spans="1:18" ht="15.75" customHeight="1" x14ac:dyDescent="0.25">
      <c r="A14" s="108" t="str">
        <f>[1]!b_info_name(L14)</f>
        <v>19青岛城投SCP003</v>
      </c>
      <c r="B14" s="2" t="str">
        <f>[1]!b_issue_firstissue(L14)</f>
        <v>2019-04-17</v>
      </c>
      <c r="C14" s="108">
        <f>[1]!b_info_term(L14)</f>
        <v>0.24660000000000001</v>
      </c>
      <c r="D14" s="109" t="str">
        <f>[1]!issuerrating(L14)</f>
        <v>AAA</v>
      </c>
      <c r="E14" s="109" t="str">
        <f>[1]!b_info_creditrating(L14)</f>
        <v>-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309</v>
      </c>
      <c r="I14" s="65"/>
      <c r="J14" s="112" t="s">
        <v>309</v>
      </c>
      <c r="K14" s="113">
        <f>K3</f>
        <v>0</v>
      </c>
      <c r="L14" s="42" t="str">
        <f>L3</f>
        <v>d19041607.IB</v>
      </c>
      <c r="M14" s="111" t="s">
        <v>309</v>
      </c>
      <c r="N14" s="108" t="str">
        <f>[1]!b_agency_leadunderwriter(L14)</f>
        <v>兴业银行股份有限公司,平安银行股份有限公司</v>
      </c>
      <c r="P14" s="106" t="str">
        <f t="shared" ca="1" si="0"/>
        <v>2019-04-15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312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2019-04-15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313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2019-04-15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314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2019-04-15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315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2019-04-15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316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2019-04-15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317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2019-04-15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318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2019-04-15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319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2019-04-15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320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2019-04-15</v>
      </c>
    </row>
    <row r="24" spans="1:16" x14ac:dyDescent="0.25">
      <c r="P24" s="106" t="str">
        <f t="shared" ca="1" si="0"/>
        <v>2019-04-15</v>
      </c>
    </row>
    <row r="25" spans="1:16" x14ac:dyDescent="0.25">
      <c r="P25" s="106" t="str">
        <f t="shared" ca="1" si="0"/>
        <v>2019-04-15</v>
      </c>
    </row>
    <row r="26" spans="1:16" x14ac:dyDescent="0.25">
      <c r="P26" s="106" t="str">
        <f t="shared" ca="1" si="0"/>
        <v>2019-04-15</v>
      </c>
    </row>
    <row r="27" spans="1:16" x14ac:dyDescent="0.25">
      <c r="P27" s="106" t="str">
        <f t="shared" ca="1" si="0"/>
        <v>2019-04-15</v>
      </c>
    </row>
    <row r="28" spans="1:16" x14ac:dyDescent="0.25">
      <c r="P28" s="106" t="str">
        <f t="shared" ca="1" si="0"/>
        <v>2019-04-15</v>
      </c>
    </row>
    <row r="29" spans="1:16" x14ac:dyDescent="0.25">
      <c r="P29" s="106" t="str">
        <f t="shared" ca="1" si="0"/>
        <v>2019-04-15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2019-04-16T08:27:52Z</dcterms:modified>
</cp:coreProperties>
</file>