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8新券信评\"/>
    </mc:Choice>
  </mc:AlternateContent>
  <xr:revisionPtr revIDLastSave="0" documentId="13_ncr:1_{86805AF8-BAD9-4C0C-9662-34FD7D15D7A6}" xr6:coauthVersionLast="43" xr6:coauthVersionMax="43" xr10:uidLastSave="{00000000-0000-0000-0000-000000000000}"/>
  <bookViews>
    <workbookView xWindow="2124" yWindow="2124" windowWidth="17280" windowHeight="8964"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Q2"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F16" i="1"/>
  <c r="B16" i="1"/>
  <c r="O15" i="1"/>
  <c r="J15" i="1"/>
  <c r="D15" i="1"/>
  <c r="F14" i="1"/>
  <c r="S140" i="1"/>
  <c r="S137" i="1"/>
  <c r="O135" i="1"/>
  <c r="S133" i="1"/>
  <c r="S131" i="1"/>
  <c r="S130" i="1"/>
  <c r="S129" i="1"/>
  <c r="O128" i="1"/>
  <c r="O127" i="1"/>
  <c r="M119" i="1"/>
  <c r="F112" i="1"/>
  <c r="M110" i="1"/>
  <c r="M109" i="1"/>
  <c r="O103" i="1"/>
  <c r="F102" i="1"/>
  <c r="R101" i="1"/>
  <c r="M101" i="1"/>
  <c r="D101" i="1"/>
  <c r="P100" i="1"/>
  <c r="J100" i="1"/>
  <c r="B100" i="1"/>
  <c r="N99" i="1"/>
  <c r="F99" i="1"/>
  <c r="Q98" i="1"/>
  <c r="L98" i="1"/>
  <c r="D98" i="1"/>
  <c r="O97" i="1"/>
  <c r="G97" i="1"/>
  <c r="B97" i="1"/>
  <c r="M96" i="1"/>
  <c r="E96" i="1"/>
  <c r="F95" i="1"/>
  <c r="F94" i="1"/>
  <c r="G93" i="1"/>
  <c r="B93" i="1"/>
  <c r="B92" i="1"/>
  <c r="C91" i="1"/>
  <c r="D90" i="1"/>
  <c r="D89" i="1"/>
  <c r="E88" i="1"/>
  <c r="F87" i="1"/>
  <c r="F86" i="1"/>
  <c r="G85" i="1"/>
  <c r="B85" i="1"/>
  <c r="B84" i="1"/>
  <c r="C83" i="1"/>
  <c r="D82" i="1"/>
  <c r="D81" i="1"/>
  <c r="E80" i="1"/>
  <c r="F79" i="1"/>
  <c r="F78" i="1"/>
  <c r="G77" i="1"/>
  <c r="B77" i="1"/>
  <c r="B76" i="1"/>
  <c r="C75" i="1"/>
  <c r="D74" i="1"/>
  <c r="D73" i="1"/>
  <c r="E72" i="1"/>
  <c r="F71" i="1"/>
  <c r="F70" i="1"/>
  <c r="G69" i="1"/>
  <c r="B69" i="1"/>
  <c r="B68" i="1"/>
  <c r="C67" i="1"/>
  <c r="D66" i="1"/>
  <c r="D65" i="1"/>
  <c r="E64" i="1"/>
  <c r="F63" i="1"/>
  <c r="F62" i="1"/>
  <c r="G61" i="1"/>
  <c r="B61" i="1"/>
  <c r="B60" i="1"/>
  <c r="C59" i="1"/>
  <c r="D58" i="1"/>
  <c r="D57" i="1"/>
  <c r="E56" i="1"/>
  <c r="F55" i="1"/>
  <c r="F54" i="1"/>
  <c r="G53" i="1"/>
  <c r="B53" i="1"/>
  <c r="B52" i="1"/>
  <c r="C51" i="1"/>
  <c r="D50" i="1"/>
  <c r="D49" i="1"/>
  <c r="E48" i="1"/>
  <c r="F47" i="1"/>
  <c r="F46" i="1"/>
  <c r="G45" i="1"/>
  <c r="B45" i="1"/>
  <c r="B44" i="1"/>
  <c r="C43" i="1"/>
  <c r="D42" i="1"/>
  <c r="D41" i="1"/>
  <c r="E40" i="1"/>
  <c r="F39" i="1"/>
  <c r="F38" i="1"/>
  <c r="G37" i="1"/>
  <c r="B37" i="1"/>
  <c r="B36" i="1"/>
  <c r="C35" i="1"/>
  <c r="D34" i="1"/>
  <c r="D33" i="1"/>
  <c r="E32" i="1"/>
  <c r="F31" i="1"/>
  <c r="F30" i="1"/>
  <c r="R29" i="1"/>
  <c r="M29" i="1"/>
  <c r="D29" i="1"/>
  <c r="P28" i="1"/>
  <c r="J28" i="1"/>
  <c r="B28" i="1"/>
  <c r="N27" i="1"/>
  <c r="F27" i="1"/>
  <c r="Q26" i="1"/>
  <c r="L26" i="1"/>
  <c r="D26" i="1"/>
  <c r="O25" i="1"/>
  <c r="G25" i="1"/>
  <c r="B25" i="1"/>
  <c r="M24" i="1"/>
  <c r="E24" i="1"/>
  <c r="Q23" i="1"/>
  <c r="J23" i="1"/>
  <c r="C23" i="1"/>
  <c r="F22" i="1"/>
  <c r="R21" i="1"/>
  <c r="M21" i="1"/>
  <c r="D21" i="1"/>
  <c r="P20" i="1"/>
  <c r="J20" i="1"/>
  <c r="B20" i="1"/>
  <c r="N19" i="1"/>
  <c r="F19" i="1"/>
  <c r="F18" i="1"/>
  <c r="R17" i="1"/>
  <c r="M17" i="1"/>
  <c r="D17" i="1"/>
  <c r="P16" i="1"/>
  <c r="G16" i="1"/>
  <c r="R15" i="1"/>
  <c r="M15" i="1"/>
  <c r="E15" i="1"/>
  <c r="E14" i="1"/>
  <c r="F11" i="1"/>
  <c r="F9" i="1"/>
  <c r="F7" i="1"/>
  <c r="B5" i="1"/>
  <c r="S139" i="1"/>
  <c r="M137" i="1"/>
  <c r="M135" i="1"/>
  <c r="M133" i="1"/>
  <c r="O131" i="1"/>
  <c r="O130" i="1"/>
  <c r="M129" i="1"/>
  <c r="M128" i="1"/>
  <c r="M127" i="1"/>
  <c r="M123" i="1"/>
  <c r="M120" i="1"/>
  <c r="M116" i="1"/>
  <c r="D112" i="1"/>
  <c r="F111" i="1"/>
  <c r="F110" i="1"/>
  <c r="M103" i="1"/>
  <c r="E102" i="1"/>
  <c r="Q101" i="1"/>
  <c r="J101" i="1"/>
  <c r="C101" i="1"/>
  <c r="O100" i="1"/>
  <c r="F100" i="1"/>
  <c r="R99" i="1"/>
  <c r="M99" i="1"/>
  <c r="D99" i="1"/>
  <c r="P98" i="1"/>
  <c r="J98" i="1"/>
  <c r="B98" i="1"/>
  <c r="N97" i="1"/>
  <c r="F97" i="1"/>
  <c r="Q96" i="1"/>
  <c r="L96" i="1"/>
  <c r="D96" i="1"/>
  <c r="D95" i="1"/>
  <c r="E94" i="1"/>
  <c r="F93" i="1"/>
  <c r="F92" i="1"/>
  <c r="G91" i="1"/>
  <c r="B91" i="1"/>
  <c r="B90" i="1"/>
  <c r="C89" i="1"/>
  <c r="D88" i="1"/>
  <c r="D87" i="1"/>
  <c r="E86" i="1"/>
  <c r="F85" i="1"/>
  <c r="F84" i="1"/>
  <c r="G83" i="1"/>
  <c r="B83" i="1"/>
  <c r="B82" i="1"/>
  <c r="C81" i="1"/>
  <c r="D80" i="1"/>
  <c r="D79" i="1"/>
  <c r="E78" i="1"/>
  <c r="F77" i="1"/>
  <c r="F76" i="1"/>
  <c r="G75" i="1"/>
  <c r="B75" i="1"/>
  <c r="B74" i="1"/>
  <c r="C73" i="1"/>
  <c r="D72" i="1"/>
  <c r="D71" i="1"/>
  <c r="E70" i="1"/>
  <c r="F69" i="1"/>
  <c r="F68" i="1"/>
  <c r="G67" i="1"/>
  <c r="B67" i="1"/>
  <c r="B66" i="1"/>
  <c r="C65" i="1"/>
  <c r="D64" i="1"/>
  <c r="D63" i="1"/>
  <c r="E62" i="1"/>
  <c r="F61" i="1"/>
  <c r="F60" i="1"/>
  <c r="G59" i="1"/>
  <c r="B59" i="1"/>
  <c r="B58" i="1"/>
  <c r="C57" i="1"/>
  <c r="D56" i="1"/>
  <c r="D55" i="1"/>
  <c r="E54" i="1"/>
  <c r="F53" i="1"/>
  <c r="F52" i="1"/>
  <c r="G51" i="1"/>
  <c r="B51" i="1"/>
  <c r="B50" i="1"/>
  <c r="C49" i="1"/>
  <c r="D48" i="1"/>
  <c r="D47" i="1"/>
  <c r="E46" i="1"/>
  <c r="F45" i="1"/>
  <c r="F44" i="1"/>
  <c r="G43" i="1"/>
  <c r="B43" i="1"/>
  <c r="B42" i="1"/>
  <c r="C41" i="1"/>
  <c r="D40" i="1"/>
  <c r="D39" i="1"/>
  <c r="E38" i="1"/>
  <c r="F37" i="1"/>
  <c r="F36" i="1"/>
  <c r="G35" i="1"/>
  <c r="B35" i="1"/>
  <c r="B34" i="1"/>
  <c r="C33" i="1"/>
  <c r="D32" i="1"/>
  <c r="D31" i="1"/>
  <c r="E30" i="1"/>
  <c r="Q29" i="1"/>
  <c r="J29" i="1"/>
  <c r="C29" i="1"/>
  <c r="O28" i="1"/>
  <c r="F28" i="1"/>
  <c r="R27" i="1"/>
  <c r="M27" i="1"/>
  <c r="D27" i="1"/>
  <c r="P26" i="1"/>
  <c r="J26" i="1"/>
  <c r="B26" i="1"/>
  <c r="N25" i="1"/>
  <c r="F25" i="1"/>
  <c r="Q24" i="1"/>
  <c r="L24" i="1"/>
  <c r="D24" i="1"/>
  <c r="O23" i="1"/>
  <c r="G23" i="1"/>
  <c r="B23" i="1"/>
  <c r="E22" i="1"/>
  <c r="Q21" i="1"/>
  <c r="J21" i="1"/>
  <c r="C21" i="1"/>
  <c r="O20" i="1"/>
  <c r="F20" i="1"/>
  <c r="R19" i="1"/>
  <c r="M19" i="1"/>
  <c r="D19" i="1"/>
  <c r="E18" i="1"/>
  <c r="Q17" i="1"/>
  <c r="J17" i="1"/>
  <c r="C17" i="1"/>
  <c r="O16" i="1"/>
  <c r="E16" i="1"/>
  <c r="Q15" i="1"/>
  <c r="L15" i="1"/>
  <c r="C15" i="1"/>
  <c r="D14" i="1"/>
  <c r="B11" i="1"/>
  <c r="B9" i="1"/>
  <c r="B7" i="1"/>
  <c r="E4" i="1"/>
  <c r="S141" i="1"/>
  <c r="M139" i="1"/>
  <c r="S136" i="1"/>
  <c r="O134" i="1"/>
  <c r="S132" i="1"/>
  <c r="M131" i="1"/>
  <c r="M121" i="1"/>
  <c r="M117" i="1"/>
  <c r="F113" i="1"/>
  <c r="D110" i="1"/>
  <c r="F109" i="1"/>
  <c r="Q103" i="1"/>
  <c r="L103" i="1"/>
  <c r="D102" i="1"/>
  <c r="O101" i="1"/>
  <c r="G101" i="1"/>
  <c r="B101" i="1"/>
  <c r="M100" i="1"/>
  <c r="E100" i="1"/>
  <c r="Q99" i="1"/>
  <c r="J99" i="1"/>
  <c r="C99" i="1"/>
  <c r="O98" i="1"/>
  <c r="F98" i="1"/>
  <c r="R97" i="1"/>
  <c r="M97" i="1"/>
  <c r="D97" i="1"/>
  <c r="P96" i="1"/>
  <c r="J96" i="1"/>
  <c r="B96" i="1"/>
  <c r="C95" i="1"/>
  <c r="D94" i="1"/>
  <c r="D93" i="1"/>
  <c r="E92" i="1"/>
  <c r="F91" i="1"/>
  <c r="F90" i="1"/>
  <c r="G89" i="1"/>
  <c r="B89" i="1"/>
  <c r="B88" i="1"/>
  <c r="C87" i="1"/>
  <c r="D86" i="1"/>
  <c r="D85" i="1"/>
  <c r="E84" i="1"/>
  <c r="F83" i="1"/>
  <c r="F82" i="1"/>
  <c r="G81" i="1"/>
  <c r="B81" i="1"/>
  <c r="B80" i="1"/>
  <c r="C79" i="1"/>
  <c r="D78" i="1"/>
  <c r="D77" i="1"/>
  <c r="E76" i="1"/>
  <c r="F75" i="1"/>
  <c r="F74" i="1"/>
  <c r="G73" i="1"/>
  <c r="B73" i="1"/>
  <c r="B72" i="1"/>
  <c r="C71" i="1"/>
  <c r="D70" i="1"/>
  <c r="D69" i="1"/>
  <c r="E68" i="1"/>
  <c r="F67" i="1"/>
  <c r="F66" i="1"/>
  <c r="G65" i="1"/>
  <c r="B65" i="1"/>
  <c r="B64" i="1"/>
  <c r="C63" i="1"/>
  <c r="D62" i="1"/>
  <c r="D61" i="1"/>
  <c r="E60" i="1"/>
  <c r="F59" i="1"/>
  <c r="F58" i="1"/>
  <c r="G57" i="1"/>
  <c r="B57" i="1"/>
  <c r="B56" i="1"/>
  <c r="C55" i="1"/>
  <c r="D54" i="1"/>
  <c r="D53" i="1"/>
  <c r="E52" i="1"/>
  <c r="F51" i="1"/>
  <c r="F50" i="1"/>
  <c r="G49" i="1"/>
  <c r="M134" i="1"/>
  <c r="P103" i="1"/>
  <c r="F101" i="1"/>
  <c r="O99" i="1"/>
  <c r="E98" i="1"/>
  <c r="O96" i="1"/>
  <c r="B94" i="1"/>
  <c r="E90" i="1"/>
  <c r="B87" i="1"/>
  <c r="D83" i="1"/>
  <c r="G79" i="1"/>
  <c r="D76" i="1"/>
  <c r="F72" i="1"/>
  <c r="C69" i="1"/>
  <c r="F65" i="1"/>
  <c r="B62" i="1"/>
  <c r="E58" i="1"/>
  <c r="B55" i="1"/>
  <c r="D51" i="1"/>
  <c r="F48" i="1"/>
  <c r="B47" i="1"/>
  <c r="C45" i="1"/>
  <c r="D43" i="1"/>
  <c r="F41" i="1"/>
  <c r="G39" i="1"/>
  <c r="B38" i="1"/>
  <c r="D36" i="1"/>
  <c r="E34" i="1"/>
  <c r="F32" i="1"/>
  <c r="B31" i="1"/>
  <c r="N29" i="1"/>
  <c r="Q28" i="1"/>
  <c r="D28" i="1"/>
  <c r="G27" i="1"/>
  <c r="M26" i="1"/>
  <c r="Q25" i="1"/>
  <c r="C25" i="1"/>
  <c r="F24" i="1"/>
  <c r="M23" i="1"/>
  <c r="B22" i="1"/>
  <c r="F21" i="1"/>
  <c r="L20" i="1"/>
  <c r="O19" i="1"/>
  <c r="B19" i="1"/>
  <c r="N17" i="1"/>
  <c r="Q16" i="1"/>
  <c r="C16" i="1"/>
  <c r="F15" i="1"/>
  <c r="B14" i="1"/>
  <c r="B8" i="1"/>
  <c r="M141" i="1"/>
  <c r="O132" i="1"/>
  <c r="S127" i="1"/>
  <c r="S112" i="1"/>
  <c r="J103" i="1"/>
  <c r="Q100" i="1"/>
  <c r="G99" i="1"/>
  <c r="Q97" i="1"/>
  <c r="F96" i="1"/>
  <c r="C93" i="1"/>
  <c r="F89" i="1"/>
  <c r="B86" i="1"/>
  <c r="E82" i="1"/>
  <c r="B79" i="1"/>
  <c r="D75" i="1"/>
  <c r="G71" i="1"/>
  <c r="D68" i="1"/>
  <c r="F64" i="1"/>
  <c r="C61" i="1"/>
  <c r="F57" i="1"/>
  <c r="B54" i="1"/>
  <c r="E50" i="1"/>
  <c r="B48" i="1"/>
  <c r="D46" i="1"/>
  <c r="E44" i="1"/>
  <c r="F42" i="1"/>
  <c r="B41" i="1"/>
  <c r="C39" i="1"/>
  <c r="D37" i="1"/>
  <c r="F35" i="1"/>
  <c r="G33" i="1"/>
  <c r="B32" i="1"/>
  <c r="D30" i="1"/>
  <c r="G29" i="1"/>
  <c r="M28" i="1"/>
  <c r="Q27" i="1"/>
  <c r="C27" i="1"/>
  <c r="F26" i="1"/>
  <c r="M25" i="1"/>
  <c r="P24" i="1"/>
  <c r="B24" i="1"/>
  <c r="F23" i="1"/>
  <c r="O21" i="1"/>
  <c r="B21" i="1"/>
  <c r="E20" i="1"/>
  <c r="J19" i="1"/>
  <c r="D18" i="1"/>
  <c r="G17" i="1"/>
  <c r="M16" i="1"/>
  <c r="P15" i="1"/>
  <c r="B15" i="1"/>
  <c r="F10" i="1"/>
  <c r="B6" i="1"/>
  <c r="S138" i="1"/>
  <c r="M111" i="1"/>
  <c r="B102" i="1"/>
  <c r="L100" i="1"/>
  <c r="B99" i="1"/>
  <c r="J97" i="1"/>
  <c r="G95" i="1"/>
  <c r="D92" i="1"/>
  <c r="F88" i="1"/>
  <c r="C85" i="1"/>
  <c r="F81" i="1"/>
  <c r="B78" i="1"/>
  <c r="E74" i="1"/>
  <c r="B71" i="1"/>
  <c r="D67" i="1"/>
  <c r="G63" i="1"/>
  <c r="D60" i="1"/>
  <c r="F56" i="1"/>
  <c r="C53" i="1"/>
  <c r="F49" i="1"/>
  <c r="G47" i="1"/>
  <c r="B46" i="1"/>
  <c r="D44" i="1"/>
  <c r="E42" i="1"/>
  <c r="F40" i="1"/>
  <c r="B39" i="1"/>
  <c r="C37" i="1"/>
  <c r="D35" i="1"/>
  <c r="F33" i="1"/>
  <c r="G31" i="1"/>
  <c r="B30" i="1"/>
  <c r="F29" i="1"/>
  <c r="L28" i="1"/>
  <c r="O27" i="1"/>
  <c r="B27" i="1"/>
  <c r="E26" i="1"/>
  <c r="J25" i="1"/>
  <c r="O24" i="1"/>
  <c r="R23" i="1"/>
  <c r="D23" i="1"/>
  <c r="N21" i="1"/>
  <c r="Q20" i="1"/>
  <c r="D20" i="1"/>
  <c r="G19" i="1"/>
  <c r="B18" i="1"/>
  <c r="F17" i="1"/>
  <c r="J16" i="1"/>
  <c r="N15" i="1"/>
  <c r="G14" i="1"/>
  <c r="B10" i="1"/>
  <c r="E5" i="1"/>
  <c r="S135" i="1"/>
  <c r="M118" i="1"/>
  <c r="S110" i="1"/>
  <c r="N101" i="1"/>
  <c r="D100" i="1"/>
  <c r="M98" i="1"/>
  <c r="C97" i="1"/>
  <c r="B95" i="1"/>
  <c r="D91" i="1"/>
  <c r="G87" i="1"/>
  <c r="D84" i="1"/>
  <c r="F80" i="1"/>
  <c r="C77" i="1"/>
  <c r="F73" i="1"/>
  <c r="B70" i="1"/>
  <c r="E66" i="1"/>
  <c r="B63" i="1"/>
  <c r="D59" i="1"/>
  <c r="G55" i="1"/>
  <c r="D52" i="1"/>
  <c r="B49" i="1"/>
  <c r="C47" i="1"/>
  <c r="D45" i="1"/>
  <c r="F43" i="1"/>
  <c r="G41" i="1"/>
  <c r="B40" i="1"/>
  <c r="D38" i="1"/>
  <c r="E36" i="1"/>
  <c r="F34" i="1"/>
  <c r="B33" i="1"/>
  <c r="C31" i="1"/>
  <c r="O29" i="1"/>
  <c r="B29" i="1"/>
  <c r="E28" i="1"/>
  <c r="J27" i="1"/>
  <c r="O26" i="1"/>
  <c r="R25" i="1"/>
  <c r="D25" i="1"/>
  <c r="J24" i="1"/>
  <c r="N23" i="1"/>
  <c r="D22" i="1"/>
  <c r="G21" i="1"/>
  <c r="M20" i="1"/>
  <c r="Q19" i="1"/>
  <c r="C19" i="1"/>
  <c r="O17" i="1"/>
  <c r="B17" i="1"/>
  <c r="D16" i="1"/>
  <c r="G15" i="1"/>
  <c r="C14" i="1"/>
  <c r="F8" i="1"/>
  <c r="B4" i="1"/>
  <c r="H110" i="1" l="1"/>
  <c r="H125" i="1"/>
  <c r="B111" i="1"/>
  <c r="H128" i="1"/>
  <c r="H112" i="1"/>
  <c r="H117" i="1"/>
  <c r="D122" i="1"/>
  <c r="B131" i="1"/>
  <c r="O22" i="1"/>
  <c r="B124" i="1"/>
  <c r="J22" i="1"/>
  <c r="P22" i="1"/>
  <c r="B121" i="1"/>
  <c r="H122" i="1"/>
  <c r="D124" i="1"/>
  <c r="H126" i="1"/>
  <c r="B129" i="1"/>
  <c r="H131" i="1"/>
  <c r="L22" i="1"/>
  <c r="Q22" i="1"/>
  <c r="B112" i="1"/>
  <c r="B117" i="1"/>
  <c r="B118" i="1"/>
  <c r="B119" i="1"/>
  <c r="D120" i="1"/>
  <c r="D121" i="1"/>
  <c r="B123" i="1"/>
  <c r="B125" i="1"/>
  <c r="B127" i="1"/>
  <c r="H129" i="1"/>
  <c r="M22" i="1"/>
  <c r="B109" i="1"/>
  <c r="B110" i="1"/>
  <c r="D117" i="1"/>
  <c r="D118" i="1"/>
  <c r="H119" i="1"/>
  <c r="H120" i="1"/>
  <c r="H121" i="1"/>
  <c r="H123" i="1"/>
  <c r="D125" i="1"/>
  <c r="H127" i="1"/>
  <c r="H130" i="1"/>
  <c r="N22" i="1"/>
  <c r="R22" i="1"/>
  <c r="H109" i="1"/>
  <c r="H111" i="1"/>
  <c r="H118" i="1"/>
  <c r="D119" i="1"/>
  <c r="B120" i="1"/>
  <c r="B122" i="1"/>
  <c r="D123" i="1"/>
  <c r="H124" i="1"/>
  <c r="B126" i="1"/>
  <c r="B128" i="1"/>
  <c r="B130"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19" i="6"/>
  <c r="J7" i="6"/>
  <c r="J9" i="6"/>
  <c r="J22" i="6"/>
  <c r="J15" i="6"/>
  <c r="J16" i="6"/>
  <c r="J23" i="6"/>
  <c r="J5" i="6"/>
  <c r="J18" i="6"/>
  <c r="J20" i="6"/>
  <c r="J6" i="6"/>
  <c r="J21" i="6"/>
</calcChain>
</file>

<file path=xl/sharedStrings.xml><?xml version="1.0" encoding="utf-8"?>
<sst xmlns="http://schemas.openxmlformats.org/spreadsheetml/2006/main" count="599" uniqueCount="227">
  <si>
    <t>q19041611.IB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</si>
  <si>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</si>
  <si>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</si>
  <si>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</si>
  <si>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</si>
  <si>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</si>
  <si>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</si>
  <si>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</si>
  <si>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</si>
  <si>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</si>
  <si>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</si>
  <si>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</si>
  <si>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</si>
  <si>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</si>
  <si>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</si>
  <si>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</si>
  <si>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</si>
  <si>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</si>
  <si>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</si>
  <si>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</si>
  <si>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</si>
  <si>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</si>
  <si>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</si>
  <si>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1382009.IB</t>
  </si>
  <si>
    <t>主体级别</t>
  </si>
  <si>
    <t>AA+</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</si>
  <si>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</si>
  <si>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</si>
  <si>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</si>
  <si>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</si>
  <si>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</si>
  <si>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</si>
  <si>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</si>
  <si>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</si>
  <si>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</si>
  <si>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</si>
  <si>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</si>
  <si>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</si>
  <si>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</si>
  <si>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</si>
  <si>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</si>
  <si>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</si>
  <si>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</si>
  <si>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</si>
  <si>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</si>
  <si>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</si>
  <si>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</si>
  <si>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</si>
  <si>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</si>
  <si>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</si>
  <si>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</si>
  <si>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</si>
  <si>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</si>
  <si>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</si>
  <si>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</si>
  <si>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</si>
  <si>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</si>
  <si>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</si>
  <si>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</si>
  <si>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</si>
  <si>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</si>
  <si>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</si>
  <si>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</si>
  <si>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</si>
  <si>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</si>
  <si>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</si>
  <si>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</si>
  <si>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</si>
  <si>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</si>
  <si>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</si>
  <si>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</si>
  <si>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</si>
  <si>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</si>
  <si>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</si>
  <si>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</si>
  <si>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</si>
  <si>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</si>
  <si>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</si>
  <si>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</si>
  <si>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</si>
  <si>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</si>
  <si>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</si>
  <si>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</si>
  <si>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</si>
  <si>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</si>
  <si>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</si>
  <si>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</si>
  <si>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</si>
  <si>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</si>
  <si>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</si>
  <si>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</si>
  <si>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</si>
  <si>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</si>
  <si>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</si>
  <si>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</si>
  <si>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</si>
  <si>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</si>
  <si>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</si>
  <si>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</si>
  <si>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</si>
  <si>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</si>
  <si>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</si>
  <si>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</si>
  <si>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</si>
  <si>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</si>
  <si>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</si>
  <si>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</si>
  <si>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</si>
  <si>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</si>
  <si>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</si>
  <si>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</si>
  <si>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</si>
  <si>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</si>
  <si>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</si>
  <si>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</si>
  <si>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041800323.IB</t>
  </si>
  <si>
    <t>20180829</t>
  </si>
  <si>
    <t>18中环电子CP001</t>
  </si>
  <si>
    <t>101654098.IB</t>
  </si>
  <si>
    <t>20161026</t>
  </si>
  <si>
    <t>16中环电子MTN001</t>
  </si>
  <si>
    <t>041568003.IB</t>
  </si>
  <si>
    <t>20150603</t>
  </si>
  <si>
    <t>15中环电子CP001</t>
  </si>
  <si>
    <t>041468005.IB</t>
  </si>
  <si>
    <t>20140812</t>
  </si>
  <si>
    <t>14中环电子CP001</t>
  </si>
  <si>
    <t>041368002.IB</t>
  </si>
  <si>
    <t>20130805</t>
  </si>
  <si>
    <t>13中环CP001</t>
  </si>
  <si>
    <t>1382240.IB</t>
  </si>
  <si>
    <t>20130514</t>
  </si>
  <si>
    <t>13中环MTN1</t>
  </si>
  <si>
    <t>1182370.IB</t>
  </si>
  <si>
    <t>20111207</t>
  </si>
  <si>
    <t>11中环MTN1</t>
  </si>
  <si>
    <t>历史主体评级</t>
  </si>
  <si>
    <t>发布日期</t>
  </si>
  <si>
    <t>主体资信级别</t>
  </si>
  <si>
    <t>评级展望</t>
  </si>
  <si>
    <t>评级机构</t>
  </si>
  <si>
    <t>20190226</t>
  </si>
  <si>
    <t>稳定</t>
  </si>
  <si>
    <t>上海新世纪资信评估投资服务有限公司</t>
  </si>
  <si>
    <t>20181203</t>
  </si>
  <si>
    <t>20180726</t>
  </si>
  <si>
    <t>20170728</t>
  </si>
  <si>
    <t>AA</t>
  </si>
  <si>
    <t>20160919</t>
  </si>
  <si>
    <t>20160727</t>
  </si>
  <si>
    <t>20151203</t>
  </si>
  <si>
    <t>20150608</t>
  </si>
  <si>
    <t>20150513</t>
  </si>
  <si>
    <t>20150129</t>
  </si>
  <si>
    <t>20140714</t>
  </si>
  <si>
    <t>20140522</t>
  </si>
  <si>
    <t>20140120</t>
  </si>
  <si>
    <t>20130724</t>
  </si>
  <si>
    <t>20130322</t>
  </si>
  <si>
    <t>20121112</t>
  </si>
  <si>
    <t>20120626</t>
  </si>
  <si>
    <t>20110905</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</si>
  <si>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</si>
  <si>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</si>
  <si>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</si>
  <si>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</si>
  <si>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</si>
  <si>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</si>
  <si>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</si>
  <si>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</si>
  <si>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</si>
  <si>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</si>
  <si>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近一年来无同行业发债企业主体评级上调</t>
  </si>
  <si>
    <t>近一年来同行业发债企业主体评级下调情况</t>
  </si>
  <si>
    <t>主体资信级别下调</t>
  </si>
  <si>
    <t>主体评级展望下调</t>
  </si>
  <si>
    <t>东旭集团有限公司</t>
  </si>
  <si>
    <t>B下调到B-负面</t>
  </si>
  <si>
    <t>标准普尔评级服务公司</t>
  </si>
  <si>
    <t>上海飞乐音响股份有限公司</t>
  </si>
  <si>
    <t>A+下调至BB+</t>
  </si>
  <si>
    <t>公司业绩预亏</t>
  </si>
  <si>
    <t>浙江盾安人工环境股份有限公司</t>
  </si>
  <si>
    <t>AA稳定下调至AA负面</t>
  </si>
  <si>
    <t>联合信用评级有限公司</t>
  </si>
  <si>
    <t xml:space="preserve">公司拟计提资产减值准备139000 万元、商誉减值准备共7514.10 万元，并预计产生资产处置损失共2920879 万元， 加之制冷配件、节能等业务板块经营业绩下滑，公司预计2018 年归属于上市公司股东的净利润为-195000 万元至-225000 万元。
</t>
  </si>
  <si>
    <t>北讯集团股份有限公司</t>
  </si>
  <si>
    <t>BBB+下调至BB负面</t>
  </si>
  <si>
    <t>华昌达智能装备集团股份有限公司</t>
  </si>
  <si>
    <t>A+下调至A-</t>
  </si>
  <si>
    <t>中诚信证券评估有限公司</t>
  </si>
  <si>
    <t xml:space="preserve">截至2018 年9 月末， 颜华债务处置方案尚未落实， 同时第二大股东石河子德梅柯投资合伙企业（ 有限合伙）质押股份121999997 股，占其所持华昌达总股数的99.64%， 其中因股权质押逾期冻结72000000 股， 占其所持华昌达总股数的58.80%。第一大股东债务纠纷尚未解决，
第二大股东石河子德梅柯质押公司股份比例高且质押出现逾期并被列入失信人被执行名单。公司经营业绩持续下滑。此外，公司债务规模较大，短期偿债压力很大，整体偿债风险上升。
被执行人名单， 中诚信证评将持续关注公司股权及治理结构的稳定性和上述事项
对公司日常经营活动造成的不利影响。
</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</si>
  <si>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</si>
  <si>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</si>
  <si>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</si>
  <si>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</si>
  <si>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</si>
  <si>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</si>
  <si>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</si>
  <si>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</si>
  <si>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</si>
  <si>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</si>
  <si>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</si>
  <si>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</si>
  <si>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</si>
  <si>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</si>
  <si>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</si>
  <si>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</si>
  <si>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</si>
  <si>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</si>
  <si>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</si>
  <si>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</si>
  <si>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</si>
  <si>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</si>
  <si>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</si>
  <si>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</si>
  <si>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</si>
  <si>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天津中环电子信息集团有限公司</t>
  </si>
  <si>
    <t>地方国有企业</t>
  </si>
  <si>
    <t>信息技术--半导体与半导体生产设备--半导体产品与半导体设备--半导体产品</t>
  </si>
  <si>
    <t>天津经济技术开发区第三大街16号</t>
  </si>
  <si>
    <t>公司是天津市政府授权经营国有资产的大型电子信息企业集团，主要从事军民用通信、广播音像、半导体材料及器件、仪器仪表等产品的研发、生产和经营。其核心企业多为新中国成立后即成立的企业，历史悠久，目前已发展成为全国大型电子信息产品研发、制造与销售集团公司。公司在半导体材料处于国内领先水平，其区熔单晶硅产品在国内市场占有率高达70%，在国际市场占有率位列前三。其生产的节能型功率电子器件用抛光片填补了国内的空白。</t>
  </si>
  <si>
    <t>天津市人民政府国有资产监督管理委员会</t>
  </si>
  <si>
    <t/>
  </si>
  <si>
    <t>A-1</t>
  </si>
  <si>
    <t>福建三安集团有限公司</t>
  </si>
  <si>
    <t>民营企业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</si>
</sst>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4"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9">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77" fontId="3" fillId="4" borderId="2" xfId="0" applyNumberFormat="1" applyFont="1" applyFill="1" applyBorder="1" applyAlignment="1">
      <alignment horizontal="center" vertical="center" wrapText="1"/>
    </xf>
    <xf numFmtId="184"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5" t="s">
        <v>1</v>
      </c>
      <c r="B3" s="116"/>
      <c r="C3" s="116"/>
      <c r="D3" s="116"/>
      <c r="E3" s="116"/>
      <c r="F3" s="116"/>
      <c r="G3" s="116"/>
    </row>
    <row r="4" spans="1:20" s="17" customFormat="1" ht="13.5" customHeight="1" x14ac:dyDescent="0.25">
      <c r="A4" s="57" t="s">
        <v>2</v>
      </c>
      <c r="B4" s="117" t="str">
        <f>[1]!b_info_issuerupdated(A2)</f>
        <v>天津中环电子信息集团有限公司</v>
      </c>
      <c r="C4" s="118"/>
      <c r="D4" s="57" t="s">
        <v>3</v>
      </c>
      <c r="E4" s="117" t="str">
        <f>[1]!s_info_nature(A2)</f>
        <v>地方国有企业</v>
      </c>
      <c r="F4" s="118"/>
      <c r="G4" s="118"/>
      <c r="H4" s="19"/>
    </row>
    <row r="5" spans="1:20" s="17" customFormat="1" ht="14.25" customHeight="1" x14ac:dyDescent="0.25">
      <c r="A5" s="57" t="s">
        <v>4</v>
      </c>
      <c r="B5" s="117" t="str">
        <f>[1]!b_issuer_windindustry(A2,9)</f>
        <v>信息技术--半导体与半导体生产设备--半导体产品与半导体设备--半导体产品</v>
      </c>
      <c r="C5" s="118"/>
      <c r="D5" s="57" t="s">
        <v>5</v>
      </c>
      <c r="E5" s="117" t="str">
        <f>[1]!b_issuer_regaddress(A2)</f>
        <v>天津经济技术开发区第三大街16号</v>
      </c>
      <c r="F5" s="118"/>
      <c r="G5" s="118"/>
    </row>
    <row r="6" spans="1:20" s="17" customFormat="1" ht="81" customHeight="1" x14ac:dyDescent="0.25">
      <c r="A6" s="57" t="s">
        <v>6</v>
      </c>
      <c r="B6" s="119" t="str">
        <f>[1]!s_info_briefing(A2)</f>
        <v>公司是天津市政府授权经营国有资产的大型电子信息企业集团，主要从事军民用通信、广播音像、半导体材料及器件、仪器仪表等产品的研发、生产和经营。其核心企业多为新中国成立后即成立的企业，历史悠久，目前已发展成为全国大型电子信息产品研发、制造与销售集团公司。公司在半导体材料处于国内领先水平，其区熔单晶硅产品在国内市场占有率高达70%，在国际市场占有率位列前三。其生产的节能型功率电子器件用抛光片填补了国内的空白。</v>
      </c>
      <c r="C6" s="118"/>
      <c r="D6" s="118"/>
      <c r="E6" s="118"/>
      <c r="F6" s="118"/>
      <c r="G6" s="118"/>
    </row>
    <row r="7" spans="1:20" s="17" customFormat="1" x14ac:dyDescent="0.25">
      <c r="A7" s="59" t="s">
        <v>7</v>
      </c>
      <c r="B7" s="120" t="str">
        <f>[1]!b_issuer_shareholder(A2,"",1)</f>
        <v>天津市人民政府国有资产监督管理委员会</v>
      </c>
      <c r="C7" s="118"/>
      <c r="D7" s="118"/>
      <c r="E7" s="118"/>
      <c r="F7" s="61">
        <f>[1]!b_issuer_propofshareholder($A$2,"",1)%</f>
        <v>1</v>
      </c>
      <c r="G7" s="60"/>
      <c r="H7" s="20" t="s">
        <v>8</v>
      </c>
      <c r="M7" s="24">
        <v>42004</v>
      </c>
      <c r="N7" s="24">
        <v>42369</v>
      </c>
      <c r="O7" s="24">
        <v>41639</v>
      </c>
      <c r="P7" s="62" t="s">
        <v>9</v>
      </c>
      <c r="Q7" s="62" t="s">
        <v>10</v>
      </c>
      <c r="R7" s="62" t="s">
        <v>11</v>
      </c>
    </row>
    <row r="8" spans="1:20" s="17" customFormat="1" x14ac:dyDescent="0.25">
      <c r="A8" s="59"/>
      <c r="B8" s="120">
        <f>[1]!b_issuer_shareholder(A2,"",2)</f>
        <v>0</v>
      </c>
      <c r="C8" s="118"/>
      <c r="D8" s="118"/>
      <c r="E8" s="118"/>
      <c r="F8" s="61">
        <f>[1]!b_issuer_propofshareholder($A$2,"",2)%</f>
        <v>0</v>
      </c>
      <c r="G8" s="60"/>
      <c r="H8" s="20"/>
      <c r="M8" s="25"/>
      <c r="O8" s="25"/>
      <c r="P8" s="63"/>
    </row>
    <row r="9" spans="1:20" s="17" customFormat="1" x14ac:dyDescent="0.25">
      <c r="A9" s="59"/>
      <c r="B9" s="120">
        <f>[1]!b_issuer_shareholder(A2,"",3)</f>
        <v>0</v>
      </c>
      <c r="C9" s="118"/>
      <c r="D9" s="118"/>
      <c r="E9" s="118"/>
      <c r="F9" s="61">
        <f>[1]!b_issuer_propofshareholder($A$2,"",3)%</f>
        <v>0</v>
      </c>
      <c r="G9" s="60"/>
      <c r="H9" s="20"/>
      <c r="M9" s="25"/>
      <c r="O9" s="25"/>
      <c r="P9" s="63"/>
    </row>
    <row r="10" spans="1:20" s="17" customFormat="1" x14ac:dyDescent="0.25">
      <c r="A10" s="59"/>
      <c r="B10" s="120">
        <f>[1]!b_issuer_shareholder(A2,"",4)</f>
        <v>0</v>
      </c>
      <c r="C10" s="118"/>
      <c r="D10" s="118"/>
      <c r="E10" s="118"/>
      <c r="F10" s="61">
        <f>[1]!b_issuer_propofshareholder($A$2,"",4)%</f>
        <v>0</v>
      </c>
      <c r="G10" s="60"/>
      <c r="H10" s="20"/>
      <c r="M10" s="25"/>
      <c r="O10" s="25"/>
      <c r="P10" s="63"/>
    </row>
    <row r="11" spans="1:20" s="17" customFormat="1" x14ac:dyDescent="0.25">
      <c r="A11" s="59"/>
      <c r="B11" s="120">
        <f>[1]!b_issuer_shareholder(A2,"",5)</f>
        <v>0</v>
      </c>
      <c r="C11" s="118"/>
      <c r="D11" s="118"/>
      <c r="E11" s="118"/>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q19041611.IB</v>
      </c>
      <c r="K14" s="26"/>
      <c r="L14" s="27" t="str">
        <f>T15</f>
        <v>1382009.IB</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天津中环电子信息集团有限公司</v>
      </c>
      <c r="K15" s="136"/>
      <c r="L15" s="8" t="str">
        <f>[1]!b_info_issuer(L14)</f>
        <v>福建三安集团有限公司</v>
      </c>
      <c r="M15" s="8">
        <f>[1]!b_info_issuer(M14)</f>
        <v>0</v>
      </c>
      <c r="N15" s="8">
        <f>[1]!b_info_issuer(N14)</f>
        <v>0</v>
      </c>
      <c r="O15" s="8">
        <f>[1]!b_info_issuer(O14)</f>
        <v>0</v>
      </c>
      <c r="P15" s="8">
        <f>[1]!b_info_issuer(P14)</f>
        <v>0</v>
      </c>
      <c r="Q15" s="8">
        <f>[1]!b_info_issuer(Q14)</f>
        <v>0</v>
      </c>
      <c r="R15" s="8">
        <f>[1]!b_info_issuer(R14)</f>
        <v>0</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v>
      </c>
      <c r="K16" s="122"/>
      <c r="L16" s="66" t="s">
        <v>25</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26</v>
      </c>
      <c r="I17" s="9" t="s">
        <v>3</v>
      </c>
      <c r="J17" s="67" t="str">
        <f>[1]!s_info_nature(J14)</f>
        <v>地方国有企业</v>
      </c>
      <c r="K17" s="122"/>
      <c r="L17" s="67" t="str">
        <f>[1]!s_info_nature(L14)</f>
        <v>民营企业</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27</v>
      </c>
      <c r="J18" s="62" t="s">
        <v>28</v>
      </c>
      <c r="K18" s="122"/>
      <c r="L18" s="62" t="s">
        <v>28</v>
      </c>
      <c r="M18" s="62" t="s">
        <v>28</v>
      </c>
      <c r="N18" s="62" t="s">
        <v>28</v>
      </c>
      <c r="O18" s="62" t="s">
        <v>28</v>
      </c>
      <c r="P18" s="62" t="s">
        <v>28</v>
      </c>
      <c r="Q18" s="62" t="s">
        <v>28</v>
      </c>
      <c r="R18" s="62" t="s">
        <v>28</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29</v>
      </c>
      <c r="J19" s="68">
        <f>[1]!b_stm07_bs(J14,74,J13,1)/100000000</f>
        <v>466.04127791370001</v>
      </c>
      <c r="K19" s="122"/>
      <c r="L19" s="68">
        <f>[1]!b_stm07_bs(L14,74,L13,1)/100000000</f>
        <v>530.31938613969999</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30</v>
      </c>
      <c r="J20" s="10">
        <f>[1]!s_fa_debttoassets(J14,J13)/100</f>
        <v>0.57191400000000003</v>
      </c>
      <c r="K20" s="122"/>
      <c r="L20" s="10">
        <f>[1]!s_fa_debttoassets(L14,L13)/100</f>
        <v>0.64065299999999992</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31</v>
      </c>
      <c r="J21" s="68">
        <f>[1]!s_fa_current(J14,J13)</f>
        <v>1.2262</v>
      </c>
      <c r="K21" s="122"/>
      <c r="L21" s="68">
        <f>[1]!s_fa_current(L14,L13)</f>
        <v>1.2623</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32</v>
      </c>
      <c r="J22" s="66">
        <f>(J96+J97+J98+J99+J100+J101)/J103</f>
        <v>0.72148260039162559</v>
      </c>
      <c r="K22" s="122"/>
      <c r="L22" s="66">
        <f>(公式页!L96+公式页!L97+公式页!L98+公式页!L99+公式页!L100+公式页!L101)/公式页!L103</f>
        <v>1.1461226444590147</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33</v>
      </c>
      <c r="J23" s="68">
        <f>[1]!s_fa_ebitdatodebt(J14,J13)</f>
        <v>8.9200000000000002E-2</v>
      </c>
      <c r="K23" s="122"/>
      <c r="L23" s="68">
        <f>[1]!s_fa_ebitdatodebt(L14,L13)</f>
        <v>0.1477</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34</v>
      </c>
      <c r="J24" s="68">
        <f>[1]!b_stm07_is(J14,9,J13,1)/100000000</f>
        <v>169.21878088080001</v>
      </c>
      <c r="K24" s="122"/>
      <c r="L24" s="68">
        <f>[1]!b_stm07_is(L14,9,L13,1)/100000000</f>
        <v>332.27603365589999</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35</v>
      </c>
      <c r="J25" s="11">
        <f>[1]!s_fa_salescashintoor(J14,J13)%</f>
        <v>0.75270000000000015</v>
      </c>
      <c r="K25" s="122"/>
      <c r="L25" s="11">
        <f>[1]!s_fa_salescashintoor(L14,L13)%</f>
        <v>1.0568</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36</v>
      </c>
      <c r="J26" s="11">
        <f>[1]!s_fa_grossprofitmargin(J14,J13)%</f>
        <v>0.226857</v>
      </c>
      <c r="K26" s="122"/>
      <c r="L26" s="11">
        <f>[1]!s_fa_grossprofitmargin(L14,L13)%</f>
        <v>0.126614</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37</v>
      </c>
      <c r="J27" s="69">
        <f>[1]!b_stm07_is(J14,60,J13,1)/100000000</f>
        <v>5.3399690020000001</v>
      </c>
      <c r="K27" s="122"/>
      <c r="L27" s="69">
        <f>[1]!b_stm07_is(L14,60,L13,1)/100000000</f>
        <v>22.7421527431</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38</v>
      </c>
      <c r="I28" s="54" t="s">
        <v>39</v>
      </c>
      <c r="J28" s="10">
        <f>[1]!s_fa_roe(J14,J13)%</f>
        <v>4.2759999999999994E-3</v>
      </c>
      <c r="K28" s="122"/>
      <c r="L28" s="10">
        <f>[1]!s_fa_roe(L14,L13)%</f>
        <v>4.2168000000000004E-2</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40</v>
      </c>
      <c r="J29" s="69">
        <f>[1]!b_stm07_cs(J14,39,J13,1)/100000000</f>
        <v>8.4146892816999994</v>
      </c>
      <c r="K29" s="122"/>
      <c r="L29" s="69">
        <f>[1]!b_stm07_cs(L14,39,L13,1)/100000000</f>
        <v>12.061665014200001</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41</v>
      </c>
      <c r="J96" s="71">
        <f>[1]!b_stm07_bs(J14,75,J13,1)</f>
        <v>5016155588.3100004</v>
      </c>
      <c r="K96" s="71"/>
      <c r="L96" s="71">
        <f>[1]!b_stm07_bs(L14,75,L13,1)</f>
        <v>14165955500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42</v>
      </c>
      <c r="J97" s="71">
        <f>[1]!b_stm07_bs(J14,82,J13,1)</f>
        <v>135953882.93000001</v>
      </c>
      <c r="K97" s="71"/>
      <c r="L97" s="71">
        <f>[1]!b_stm07_bs(L14,82,L13,1)</f>
        <v>19177426.59</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43</v>
      </c>
      <c r="J98" s="71">
        <f>[1]!b_stm07_bs(J14,88,J13,1)</f>
        <v>2370840834.6799998</v>
      </c>
      <c r="K98" s="71"/>
      <c r="L98" s="71">
        <f>[1]!b_stm07_bs(L14,88,L13,1)</f>
        <v>1240100000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44</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45</v>
      </c>
      <c r="J100" s="71">
        <f>[1]!b_stm07_bs(J14,94,J13,1)</f>
        <v>3719180861.02</v>
      </c>
      <c r="K100" s="71"/>
      <c r="L100" s="71">
        <f>[1]!b_stm07_bs(L14,94,L13,1)</f>
        <v>1198707825.1900001</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46</v>
      </c>
      <c r="J101" s="71">
        <f>[1]!b_stm07_bs(J14,95,J13,1)</f>
        <v>3151847431.27</v>
      </c>
      <c r="K101" s="71"/>
      <c r="L101" s="71">
        <f>[1]!b_stm07_bs(L14,95,L13,1)</f>
        <v>5217581407.8999996</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47</v>
      </c>
      <c r="J103" s="71">
        <f>[1]!b_stm07_bs(J14,141,J13,1)</f>
        <v>19950555412.419998</v>
      </c>
      <c r="K103" s="71"/>
      <c r="L103" s="71">
        <f>[1]!b_stm07_bs(L14,141,L13,1)</f>
        <v>19056880400.43</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1" t="s">
        <v>48</v>
      </c>
      <c r="B106" s="116"/>
      <c r="C106" s="116"/>
      <c r="D106" s="122"/>
      <c r="E106" s="122"/>
      <c r="F106" s="122"/>
      <c r="G106" s="122"/>
      <c r="H106" s="122"/>
      <c r="I106" s="122"/>
      <c r="J106" s="122"/>
      <c r="L106" s="17"/>
      <c r="M106" s="17"/>
    </row>
    <row r="107" spans="1:19" x14ac:dyDescent="0.25">
      <c r="A107" s="123" t="s">
        <v>49</v>
      </c>
      <c r="B107" s="116"/>
      <c r="C107" s="116"/>
      <c r="D107" s="122"/>
      <c r="E107" s="122"/>
      <c r="F107" s="122"/>
      <c r="G107" s="124">
        <v>2017</v>
      </c>
      <c r="H107" s="122"/>
      <c r="I107" s="122"/>
      <c r="J107" s="122"/>
      <c r="K107" s="40" t="str">
        <f>A2</f>
        <v>q19041611.IB</v>
      </c>
      <c r="L107" s="33">
        <f>B2</f>
        <v>43100</v>
      </c>
      <c r="M107" s="17"/>
    </row>
    <row r="108" spans="1:19" ht="12.75" customHeight="1" x14ac:dyDescent="0.25">
      <c r="A108" s="125" t="s">
        <v>50</v>
      </c>
      <c r="B108" s="116"/>
      <c r="C108" s="125" t="s">
        <v>51</v>
      </c>
      <c r="D108" s="122"/>
      <c r="E108" s="125" t="s">
        <v>52</v>
      </c>
      <c r="F108" s="122"/>
      <c r="G108" s="125" t="s">
        <v>53</v>
      </c>
      <c r="H108" s="122"/>
      <c r="I108" s="125" t="s">
        <v>54</v>
      </c>
      <c r="J108" s="122"/>
      <c r="L108" s="17"/>
      <c r="M108" s="17"/>
    </row>
    <row r="109" spans="1:19" ht="16.5" customHeight="1" x14ac:dyDescent="0.25">
      <c r="A109" s="54" t="s">
        <v>55</v>
      </c>
      <c r="B109" s="12">
        <f>M109/100</f>
        <v>0.57191400000000003</v>
      </c>
      <c r="C109" s="54" t="s">
        <v>31</v>
      </c>
      <c r="D109" s="72">
        <f>[1]!s_fa_current(A2,B2)</f>
        <v>1.2262</v>
      </c>
      <c r="E109" s="54" t="s">
        <v>35</v>
      </c>
      <c r="F109" s="73">
        <f>[1]!s_fa_salescashintoor(A2,B2)/100</f>
        <v>0.75270000000000015</v>
      </c>
      <c r="G109" s="54" t="s">
        <v>36</v>
      </c>
      <c r="H109" s="12">
        <f>S109/100</f>
        <v>0.226857</v>
      </c>
      <c r="I109" s="54"/>
      <c r="J109" s="16"/>
      <c r="K109" s="25"/>
      <c r="L109" s="34" t="s">
        <v>55</v>
      </c>
      <c r="M109" s="74">
        <f>[1]!s_fa_debttoassets(A2,B2)</f>
        <v>57.191400000000002</v>
      </c>
      <c r="N109" s="54" t="s">
        <v>31</v>
      </c>
      <c r="O109" s="35"/>
      <c r="P109" s="54" t="s">
        <v>35</v>
      </c>
      <c r="Q109" s="35"/>
      <c r="R109" s="54" t="s">
        <v>36</v>
      </c>
      <c r="S109" s="75">
        <f>[1]!s_fa_grossprofitmargin(A2,B2)</f>
        <v>22.685700000000001</v>
      </c>
    </row>
    <row r="110" spans="1:19" ht="15.75" customHeight="1" x14ac:dyDescent="0.25">
      <c r="A110" s="54" t="s">
        <v>56</v>
      </c>
      <c r="B110" s="12">
        <f>M110/100</f>
        <v>0.45621899999999999</v>
      </c>
      <c r="C110" s="54" t="s">
        <v>57</v>
      </c>
      <c r="D110" s="73">
        <f>[1]!s_fa_quick(A2,B2)</f>
        <v>0.97160000000000002</v>
      </c>
      <c r="E110" s="54" t="s">
        <v>58</v>
      </c>
      <c r="F110" s="72">
        <f>[1]!s_fa_arturn(A2,B2)</f>
        <v>4.5194000000000001</v>
      </c>
      <c r="G110" s="54" t="s">
        <v>59</v>
      </c>
      <c r="H110" s="12">
        <f>S110/100</f>
        <v>3.4889999999999997E-2</v>
      </c>
      <c r="I110" s="54"/>
      <c r="J110" s="16"/>
      <c r="L110" s="54" t="s">
        <v>56</v>
      </c>
      <c r="M110" s="74">
        <f>[1]!s_fa_catoassets(A2,B2)</f>
        <v>45.621899999999997</v>
      </c>
      <c r="N110" s="54" t="s">
        <v>57</v>
      </c>
      <c r="O110" s="35"/>
      <c r="P110" s="54" t="s">
        <v>58</v>
      </c>
      <c r="Q110" s="73"/>
      <c r="R110" s="54" t="s">
        <v>59</v>
      </c>
      <c r="S110" s="75">
        <f>[1]!s_fa_optogr(A2,B2)</f>
        <v>3.4889999999999999</v>
      </c>
    </row>
    <row r="111" spans="1:19" ht="15" customHeight="1" x14ac:dyDescent="0.25">
      <c r="A111" s="54" t="s">
        <v>60</v>
      </c>
      <c r="B111" s="12">
        <f>M111/100</f>
        <v>0.650528</v>
      </c>
      <c r="C111" s="54" t="s">
        <v>33</v>
      </c>
      <c r="D111" s="73">
        <f>[1]!s_fa_ebitdatodebt(A2,B2)</f>
        <v>8.9200000000000002E-2</v>
      </c>
      <c r="E111" s="54" t="s">
        <v>61</v>
      </c>
      <c r="F111" s="72">
        <f>[1]!s_fa_invturn(A2,B2)</f>
        <v>2.9933999999999998</v>
      </c>
      <c r="G111" s="54" t="s">
        <v>39</v>
      </c>
      <c r="H111" s="12">
        <f>S111/100</f>
        <v>4.2759999999999994E-3</v>
      </c>
      <c r="I111" s="54"/>
      <c r="J111" s="16"/>
      <c r="L111" s="54" t="s">
        <v>60</v>
      </c>
      <c r="M111" s="74">
        <f>[1]!s_fa_currentdebttodebt(A2,B2)</f>
        <v>65.052800000000005</v>
      </c>
      <c r="N111" s="54" t="s">
        <v>33</v>
      </c>
      <c r="O111" s="35"/>
      <c r="P111" s="54" t="s">
        <v>61</v>
      </c>
      <c r="Q111" s="35"/>
      <c r="R111" s="54" t="s">
        <v>39</v>
      </c>
      <c r="S111" s="75">
        <f>[1]!s_fa_roe(A2,B2)</f>
        <v>0.42759999999999998</v>
      </c>
    </row>
    <row r="112" spans="1:19" ht="14.25" customHeight="1" x14ac:dyDescent="0.25">
      <c r="A112" s="54" t="s">
        <v>32</v>
      </c>
      <c r="B112" s="76">
        <f>(M116+M117+M118+M119+M120+M121)/M123</f>
        <v>0.72148260039162559</v>
      </c>
      <c r="C112" s="54" t="s">
        <v>62</v>
      </c>
      <c r="D112" s="73">
        <f>[1]!s_fa_ebittointerest(A2,B2)</f>
        <v>2.6720000000000002</v>
      </c>
      <c r="E112" s="54" t="s">
        <v>63</v>
      </c>
      <c r="F112" s="72">
        <f>[1]!s_fa_caturn(A2,B2)</f>
        <v>0.85860000000000003</v>
      </c>
      <c r="G112" s="54" t="s">
        <v>64</v>
      </c>
      <c r="H112" s="12">
        <f>S112/100</f>
        <v>2.5691000000000002E-2</v>
      </c>
      <c r="I112" s="54"/>
      <c r="J112" s="16"/>
      <c r="L112" s="54" t="s">
        <v>32</v>
      </c>
      <c r="M112" s="77"/>
      <c r="N112" s="54" t="s">
        <v>62</v>
      </c>
      <c r="O112" s="35"/>
      <c r="P112" s="54" t="s">
        <v>63</v>
      </c>
      <c r="Q112" s="35"/>
      <c r="R112" s="54" t="s">
        <v>64</v>
      </c>
      <c r="S112" s="75">
        <f>[1]!s_fa_roa2(A2,B2)</f>
        <v>2.5691000000000002</v>
      </c>
    </row>
    <row r="113" spans="1:21" x14ac:dyDescent="0.25">
      <c r="A113" s="30"/>
      <c r="B113" s="31"/>
      <c r="C113" s="30"/>
      <c r="D113" s="32"/>
      <c r="E113" s="30" t="s">
        <v>65</v>
      </c>
      <c r="F113" s="78">
        <f>[1]!s_fa_dupont_faturnover(A2,B2)</f>
        <v>0.39550000000000002</v>
      </c>
      <c r="G113" s="30"/>
      <c r="H113" s="31"/>
      <c r="I113" s="30"/>
      <c r="J113" s="31"/>
      <c r="L113" s="30"/>
      <c r="M113" s="36"/>
      <c r="N113" s="30"/>
      <c r="O113" s="32"/>
      <c r="P113" s="30" t="s">
        <v>65</v>
      </c>
      <c r="Q113" s="37"/>
      <c r="R113" s="30"/>
      <c r="S113" s="31"/>
    </row>
    <row r="114" spans="1:21" ht="13.5" customHeight="1" x14ac:dyDescent="0.25">
      <c r="A114" s="121" t="s">
        <v>66</v>
      </c>
      <c r="B114" s="116"/>
      <c r="C114" s="116"/>
      <c r="D114" s="122"/>
      <c r="E114" s="122"/>
      <c r="F114" s="122"/>
      <c r="G114" s="122"/>
      <c r="H114" s="122"/>
      <c r="I114" s="122"/>
      <c r="J114" s="122"/>
      <c r="L114" s="17"/>
      <c r="M114" s="17"/>
    </row>
    <row r="115" spans="1:21" ht="13.5" customHeight="1" x14ac:dyDescent="0.25">
      <c r="A115" s="123" t="s">
        <v>67</v>
      </c>
      <c r="B115" s="116"/>
      <c r="C115" s="116"/>
      <c r="D115" s="122"/>
      <c r="E115" s="122"/>
      <c r="F115" s="122"/>
      <c r="G115" s="126">
        <v>2017</v>
      </c>
      <c r="H115" s="122"/>
      <c r="I115" s="122"/>
      <c r="J115" s="122"/>
      <c r="L115" s="17"/>
      <c r="M115" s="17"/>
    </row>
    <row r="116" spans="1:21" x14ac:dyDescent="0.25">
      <c r="A116" s="127" t="s">
        <v>68</v>
      </c>
      <c r="B116" s="116"/>
      <c r="C116" s="127" t="s">
        <v>69</v>
      </c>
      <c r="D116" s="122"/>
      <c r="E116" s="128" t="s">
        <v>70</v>
      </c>
      <c r="F116" s="122"/>
      <c r="G116" s="122"/>
      <c r="H116" s="122"/>
      <c r="I116" s="122"/>
      <c r="J116" s="122"/>
      <c r="L116" s="17" t="s">
        <v>41</v>
      </c>
      <c r="M116" s="71">
        <f>[1]!b_stm07_bs(K107,75,L107,1)</f>
        <v>5016155588.3100004</v>
      </c>
    </row>
    <row r="117" spans="1:21" ht="14.25" customHeight="1" x14ac:dyDescent="0.25">
      <c r="A117" s="54" t="s">
        <v>71</v>
      </c>
      <c r="B117" s="73">
        <f t="shared" ref="B117:B131" si="1">M127/100000000</f>
        <v>84.782479693699997</v>
      </c>
      <c r="C117" s="54" t="s">
        <v>72</v>
      </c>
      <c r="D117" s="76">
        <f t="shared" ref="D117:D125" si="2">O127/100000000</f>
        <v>169.21878088080001</v>
      </c>
      <c r="E117" s="129" t="s">
        <v>73</v>
      </c>
      <c r="F117" s="122"/>
      <c r="G117" s="122"/>
      <c r="H117" s="130">
        <f t="shared" ref="H117:H131" si="3">S127/100000000</f>
        <v>127.36675106850001</v>
      </c>
      <c r="I117" s="122"/>
      <c r="J117" s="122"/>
      <c r="L117" s="17" t="s">
        <v>42</v>
      </c>
      <c r="M117" s="71">
        <f>[1]!b_stm07_bs(K107,82,L107,1)</f>
        <v>135953882.93000001</v>
      </c>
    </row>
    <row r="118" spans="1:21" ht="14.25" customHeight="1" x14ac:dyDescent="0.25">
      <c r="A118" s="54" t="s">
        <v>74</v>
      </c>
      <c r="B118" s="73">
        <f t="shared" si="1"/>
        <v>40.315124095800002</v>
      </c>
      <c r="C118" s="54" t="s">
        <v>75</v>
      </c>
      <c r="D118" s="76">
        <f t="shared" si="2"/>
        <v>172.3938003646</v>
      </c>
      <c r="E118" s="129" t="s">
        <v>76</v>
      </c>
      <c r="F118" s="122"/>
      <c r="G118" s="122"/>
      <c r="H118" s="130">
        <f t="shared" si="3"/>
        <v>23.665703089800001</v>
      </c>
      <c r="I118" s="122"/>
      <c r="J118" s="122"/>
      <c r="L118" s="17" t="s">
        <v>43</v>
      </c>
      <c r="M118" s="71">
        <f>[1]!b_stm07_bs(K107,88,L107,1)</f>
        <v>2370840834.6799998</v>
      </c>
    </row>
    <row r="119" spans="1:21" ht="14.25" customHeight="1" x14ac:dyDescent="0.25">
      <c r="A119" s="54" t="s">
        <v>77</v>
      </c>
      <c r="B119" s="73">
        <f t="shared" si="1"/>
        <v>12.416425085799998</v>
      </c>
      <c r="C119" s="54" t="s">
        <v>78</v>
      </c>
      <c r="D119" s="76">
        <f t="shared" si="2"/>
        <v>130.83039942549999</v>
      </c>
      <c r="E119" s="129" t="s">
        <v>79</v>
      </c>
      <c r="F119" s="122"/>
      <c r="G119" s="122"/>
      <c r="H119" s="131">
        <f t="shared" si="3"/>
        <v>154.78498022330001</v>
      </c>
      <c r="I119" s="122"/>
      <c r="J119" s="122"/>
      <c r="L119" s="17" t="s">
        <v>44</v>
      </c>
      <c r="M119" s="71">
        <f>[1]!b_stm07_bs(K107,147,L107,1)</f>
        <v>0</v>
      </c>
    </row>
    <row r="120" spans="1:21" ht="14.25" customHeight="1" x14ac:dyDescent="0.25">
      <c r="A120" s="54" t="s">
        <v>80</v>
      </c>
      <c r="B120" s="73">
        <f t="shared" si="1"/>
        <v>135.72779956069999</v>
      </c>
      <c r="C120" s="54" t="s">
        <v>81</v>
      </c>
      <c r="D120" s="76">
        <f t="shared" si="2"/>
        <v>2.6637633489999999</v>
      </c>
      <c r="E120" s="129" t="s">
        <v>82</v>
      </c>
      <c r="F120" s="122"/>
      <c r="G120" s="122"/>
      <c r="H120" s="130">
        <f t="shared" si="3"/>
        <v>85.319893794799995</v>
      </c>
      <c r="I120" s="122"/>
      <c r="J120" s="122"/>
      <c r="L120" s="17" t="s">
        <v>45</v>
      </c>
      <c r="M120" s="71">
        <f>[1]!b_stm07_bs(K107,94,L107,1)</f>
        <v>3719180861.02</v>
      </c>
    </row>
    <row r="121" spans="1:21" ht="14.25" customHeight="1" x14ac:dyDescent="0.25">
      <c r="A121" s="54" t="s">
        <v>83</v>
      </c>
      <c r="B121" s="73">
        <f t="shared" si="1"/>
        <v>41.844658806600002</v>
      </c>
      <c r="C121" s="54" t="s">
        <v>84</v>
      </c>
      <c r="D121" s="76">
        <f t="shared" si="2"/>
        <v>23.598693767199997</v>
      </c>
      <c r="E121" s="129" t="s">
        <v>85</v>
      </c>
      <c r="F121" s="122"/>
      <c r="G121" s="122"/>
      <c r="H121" s="130">
        <f t="shared" si="3"/>
        <v>27.3322414716</v>
      </c>
      <c r="I121" s="122"/>
      <c r="J121" s="122"/>
      <c r="L121" s="17" t="s">
        <v>46</v>
      </c>
      <c r="M121" s="71">
        <f>[1]!b_stm07_bs(K107,95,L107,1)</f>
        <v>3151847431.27</v>
      </c>
    </row>
    <row r="122" spans="1:21" ht="14.25" customHeight="1" x14ac:dyDescent="0.25">
      <c r="A122" s="54" t="s">
        <v>86</v>
      </c>
      <c r="B122" s="73">
        <f t="shared" si="1"/>
        <v>12.212663260399999</v>
      </c>
      <c r="C122" s="54" t="s">
        <v>87</v>
      </c>
      <c r="D122" s="76">
        <f t="shared" si="2"/>
        <v>5.1017334581</v>
      </c>
      <c r="E122" s="129" t="s">
        <v>88</v>
      </c>
      <c r="F122" s="122"/>
      <c r="G122" s="122"/>
      <c r="H122" s="131">
        <f t="shared" si="3"/>
        <v>146.37029094159999</v>
      </c>
      <c r="I122" s="122"/>
      <c r="J122" s="122"/>
      <c r="L122" s="17"/>
      <c r="M122" s="17"/>
    </row>
    <row r="123" spans="1:21" ht="14.25" customHeight="1" x14ac:dyDescent="0.25">
      <c r="A123" s="54" t="s">
        <v>89</v>
      </c>
      <c r="B123" s="79">
        <f t="shared" si="1"/>
        <v>466.04127791370001</v>
      </c>
      <c r="C123" s="54" t="s">
        <v>90</v>
      </c>
      <c r="D123" s="76">
        <f t="shared" si="2"/>
        <v>5.9039756715999996</v>
      </c>
      <c r="E123" s="129" t="s">
        <v>91</v>
      </c>
      <c r="F123" s="122"/>
      <c r="G123" s="122"/>
      <c r="H123" s="131">
        <f t="shared" si="3"/>
        <v>8.4146892816999994</v>
      </c>
      <c r="I123" s="122"/>
      <c r="J123" s="122"/>
      <c r="L123" s="17" t="s">
        <v>47</v>
      </c>
      <c r="M123" s="71">
        <f>[1]!b_stm07_bs(K107,141,L107,1)</f>
        <v>19950555412.419998</v>
      </c>
    </row>
    <row r="124" spans="1:21" ht="14.25" customHeight="1" x14ac:dyDescent="0.25">
      <c r="A124" s="54" t="s">
        <v>92</v>
      </c>
      <c r="B124" s="73">
        <f t="shared" si="1"/>
        <v>50.161555883100007</v>
      </c>
      <c r="C124" s="54" t="s">
        <v>93</v>
      </c>
      <c r="D124" s="76">
        <f t="shared" si="2"/>
        <v>6.8776581598000002</v>
      </c>
      <c r="E124" s="129" t="s">
        <v>94</v>
      </c>
      <c r="F124" s="122"/>
      <c r="G124" s="122"/>
      <c r="H124" s="131">
        <f t="shared" si="3"/>
        <v>-45.925761942700007</v>
      </c>
      <c r="I124" s="122"/>
      <c r="J124" s="122"/>
      <c r="L124" s="17"/>
      <c r="M124" s="17"/>
    </row>
    <row r="125" spans="1:21" ht="27" customHeight="1" x14ac:dyDescent="0.25">
      <c r="A125" s="54" t="s">
        <v>95</v>
      </c>
      <c r="B125" s="73">
        <f t="shared" si="1"/>
        <v>23.708408346799999</v>
      </c>
      <c r="C125" s="54" t="s">
        <v>37</v>
      </c>
      <c r="D125" s="76">
        <f t="shared" si="2"/>
        <v>5.3399690020000001</v>
      </c>
      <c r="E125" s="129" t="s">
        <v>96</v>
      </c>
      <c r="F125" s="122"/>
      <c r="G125" s="122"/>
      <c r="H125" s="130">
        <f t="shared" si="3"/>
        <v>9.1255000000000006</v>
      </c>
      <c r="I125" s="122"/>
      <c r="J125" s="122"/>
      <c r="L125" s="17"/>
      <c r="M125" s="17"/>
    </row>
    <row r="126" spans="1:21" ht="16.5" customHeight="1" x14ac:dyDescent="0.25">
      <c r="A126" s="54" t="s">
        <v>97</v>
      </c>
      <c r="B126" s="73">
        <f t="shared" si="1"/>
        <v>0</v>
      </c>
      <c r="C126" s="54"/>
      <c r="D126" s="80"/>
      <c r="E126" s="129" t="s">
        <v>98</v>
      </c>
      <c r="F126" s="122"/>
      <c r="G126" s="122"/>
      <c r="H126" s="130">
        <f t="shared" si="3"/>
        <v>113.45921042030001</v>
      </c>
      <c r="I126" s="122"/>
      <c r="J126" s="122"/>
      <c r="L126" s="132" t="s">
        <v>68</v>
      </c>
      <c r="M126" s="122"/>
      <c r="N126" s="132" t="s">
        <v>69</v>
      </c>
      <c r="O126" s="122"/>
      <c r="P126" s="123" t="s">
        <v>70</v>
      </c>
      <c r="Q126" s="122"/>
      <c r="R126" s="122"/>
      <c r="S126" s="133"/>
      <c r="T126" s="133"/>
      <c r="U126" s="133"/>
    </row>
    <row r="127" spans="1:21" ht="14.25" customHeight="1" x14ac:dyDescent="0.25">
      <c r="A127" s="54" t="s">
        <v>99</v>
      </c>
      <c r="B127" s="73">
        <f t="shared" si="1"/>
        <v>37.191808610199999</v>
      </c>
      <c r="C127" s="54"/>
      <c r="D127" s="80"/>
      <c r="E127" s="129" t="s">
        <v>100</v>
      </c>
      <c r="F127" s="122"/>
      <c r="G127" s="122"/>
      <c r="H127" s="130">
        <f t="shared" si="3"/>
        <v>0</v>
      </c>
      <c r="I127" s="122"/>
      <c r="J127" s="122"/>
      <c r="L127" s="54" t="s">
        <v>71</v>
      </c>
      <c r="M127" s="75">
        <f>[1]!b_stm07_bs(K107,9,L107,1)</f>
        <v>8478247969.3699999</v>
      </c>
      <c r="N127" s="54" t="s">
        <v>72</v>
      </c>
      <c r="O127" s="75">
        <f>[1]!b_stm07_is(K107,83,L107,1)</f>
        <v>16921878088.08</v>
      </c>
      <c r="P127" s="129" t="s">
        <v>73</v>
      </c>
      <c r="Q127" s="122"/>
      <c r="R127" s="122"/>
      <c r="S127" s="134">
        <f>[1]!b_stm07_cs(K107,9,L107,1)</f>
        <v>12736675106.85</v>
      </c>
      <c r="T127" s="133"/>
      <c r="U127" s="133"/>
    </row>
    <row r="128" spans="1:21" ht="14.25" customHeight="1" x14ac:dyDescent="0.25">
      <c r="A128" s="54" t="s">
        <v>101</v>
      </c>
      <c r="B128" s="73">
        <f t="shared" si="1"/>
        <v>31.5184743127</v>
      </c>
      <c r="C128" s="54"/>
      <c r="D128" s="80"/>
      <c r="E128" s="129" t="s">
        <v>102</v>
      </c>
      <c r="F128" s="122"/>
      <c r="G128" s="122"/>
      <c r="H128" s="131">
        <f t="shared" si="3"/>
        <v>161.30105602700002</v>
      </c>
      <c r="I128" s="122"/>
      <c r="J128" s="122"/>
      <c r="L128" s="54" t="s">
        <v>74</v>
      </c>
      <c r="M128" s="75">
        <f>[1]!b_stm07_bs(K107,12,L107,1)</f>
        <v>4031512409.5799999</v>
      </c>
      <c r="N128" s="54" t="s">
        <v>75</v>
      </c>
      <c r="O128" s="75">
        <f>[1]!b_stm07_is(K107,84,L107,1)</f>
        <v>17239380036.459999</v>
      </c>
      <c r="P128" s="129" t="s">
        <v>76</v>
      </c>
      <c r="Q128" s="122"/>
      <c r="R128" s="122"/>
      <c r="S128" s="134">
        <f>[1]!b_stm07_cs(K107,11,L107,1)</f>
        <v>2366570308.98</v>
      </c>
      <c r="T128" s="133"/>
      <c r="U128" s="133"/>
    </row>
    <row r="129" spans="1:21" ht="14.25" customHeight="1" x14ac:dyDescent="0.25">
      <c r="A129" s="54" t="s">
        <v>103</v>
      </c>
      <c r="B129" s="79">
        <f t="shared" si="1"/>
        <v>266.53572378950003</v>
      </c>
      <c r="C129" s="14"/>
      <c r="D129" s="13"/>
      <c r="E129" s="129" t="s">
        <v>104</v>
      </c>
      <c r="F129" s="122"/>
      <c r="G129" s="122"/>
      <c r="H129" s="130">
        <f t="shared" si="3"/>
        <v>92.189958060899997</v>
      </c>
      <c r="I129" s="122"/>
      <c r="J129" s="122"/>
      <c r="L129" s="54" t="s">
        <v>77</v>
      </c>
      <c r="M129" s="75">
        <f>[1]!b_stm07_bs(K107,13,L107,1)</f>
        <v>1241642508.5799999</v>
      </c>
      <c r="N129" s="54" t="s">
        <v>78</v>
      </c>
      <c r="O129" s="75">
        <f>[1]!b_stm07_is(K107,10,L107,1)</f>
        <v>13083039942.549999</v>
      </c>
      <c r="P129" s="129" t="s">
        <v>79</v>
      </c>
      <c r="Q129" s="122"/>
      <c r="R129" s="122"/>
      <c r="S129" s="135">
        <f>[1]!b_stm07_cs(K107,25,L107,1)</f>
        <v>15478498022.33</v>
      </c>
      <c r="T129" s="133"/>
      <c r="U129" s="133"/>
    </row>
    <row r="130" spans="1:21" ht="14.25" customHeight="1" x14ac:dyDescent="0.25">
      <c r="A130" s="54" t="s">
        <v>105</v>
      </c>
      <c r="B130" s="79">
        <f t="shared" si="1"/>
        <v>199.50555412419999</v>
      </c>
      <c r="C130" s="14"/>
      <c r="D130" s="13"/>
      <c r="E130" s="129" t="s">
        <v>106</v>
      </c>
      <c r="F130" s="122"/>
      <c r="G130" s="122"/>
      <c r="H130" s="130">
        <f t="shared" si="3"/>
        <v>111.1856079001</v>
      </c>
      <c r="I130" s="122"/>
      <c r="J130" s="122"/>
      <c r="L130" s="54" t="s">
        <v>80</v>
      </c>
      <c r="M130" s="75">
        <f>[1]!b_stm07_bs(K107,31,L107,1)</f>
        <v>13572779956.07</v>
      </c>
      <c r="N130" s="54" t="s">
        <v>81</v>
      </c>
      <c r="O130" s="75">
        <f>[1]!b_stm07_is(K107,12,L107,1)</f>
        <v>266376334.90000001</v>
      </c>
      <c r="P130" s="129" t="s">
        <v>82</v>
      </c>
      <c r="Q130" s="122"/>
      <c r="R130" s="122"/>
      <c r="S130" s="134">
        <f>[1]!b_stm07_cs(K107,26,L107,1)</f>
        <v>8531989379.4799995</v>
      </c>
      <c r="T130" s="133"/>
      <c r="U130" s="133"/>
    </row>
    <row r="131" spans="1:21" ht="14.25" customHeight="1" x14ac:dyDescent="0.25">
      <c r="A131" s="15" t="s">
        <v>107</v>
      </c>
      <c r="B131" s="79">
        <f t="shared" si="1"/>
        <v>466.04127791370001</v>
      </c>
      <c r="C131" s="14"/>
      <c r="D131" s="13"/>
      <c r="E131" s="129" t="s">
        <v>108</v>
      </c>
      <c r="F131" s="122"/>
      <c r="G131" s="122"/>
      <c r="H131" s="131">
        <f t="shared" si="3"/>
        <v>50.115448126899999</v>
      </c>
      <c r="I131" s="122"/>
      <c r="J131" s="122"/>
      <c r="L131" s="54" t="s">
        <v>83</v>
      </c>
      <c r="M131" s="75">
        <f>[1]!b_stm07_bs(K107,33,L107,1)</f>
        <v>4184465880.6599998</v>
      </c>
      <c r="N131" s="54" t="s">
        <v>84</v>
      </c>
      <c r="O131" s="75">
        <f>[1]!b_stm07_is(K107,13,L107,1)</f>
        <v>2359869376.7199998</v>
      </c>
      <c r="P131" s="129" t="s">
        <v>85</v>
      </c>
      <c r="Q131" s="122"/>
      <c r="R131" s="122"/>
      <c r="S131" s="134">
        <f>[1]!b_stm07_cs(K107,29,L107,1)</f>
        <v>2733224147.1599998</v>
      </c>
      <c r="T131" s="133"/>
      <c r="U131" s="133"/>
    </row>
    <row r="132" spans="1:21" x14ac:dyDescent="0.25">
      <c r="L132" s="54" t="s">
        <v>86</v>
      </c>
      <c r="M132" s="75">
        <f>[1]!b_stm07_bs(K107,37,L107,1)</f>
        <v>1221266326.04</v>
      </c>
      <c r="N132" s="54" t="s">
        <v>87</v>
      </c>
      <c r="O132" s="75">
        <f>[1]!b_stm07_is(K107,14,L107,1)</f>
        <v>510173345.81</v>
      </c>
      <c r="P132" s="129" t="s">
        <v>88</v>
      </c>
      <c r="Q132" s="122"/>
      <c r="R132" s="122"/>
      <c r="S132" s="135">
        <f>[1]!b_stm07_cs(K107,37,L107,1)</f>
        <v>14637029094.16</v>
      </c>
      <c r="T132" s="133"/>
      <c r="U132" s="133"/>
    </row>
    <row r="133" spans="1:21" x14ac:dyDescent="0.25">
      <c r="L133" s="54" t="s">
        <v>89</v>
      </c>
      <c r="M133" s="81">
        <f>[1]!b_stm07_bs(K107,74,L107,1)</f>
        <v>46604127791.370003</v>
      </c>
      <c r="N133" s="54" t="s">
        <v>90</v>
      </c>
      <c r="O133" s="75">
        <f>[1]!b_stm07_is(K107,48,L107,1)</f>
        <v>590397567.15999997</v>
      </c>
      <c r="P133" s="129" t="s">
        <v>91</v>
      </c>
      <c r="Q133" s="122"/>
      <c r="R133" s="122"/>
      <c r="S133" s="135">
        <f>[1]!b_stm07_cs(K107,39,L107,1)</f>
        <v>841468928.16999996</v>
      </c>
      <c r="T133" s="133"/>
      <c r="U133" s="133"/>
    </row>
    <row r="134" spans="1:21" x14ac:dyDescent="0.25">
      <c r="L134" s="54" t="s">
        <v>92</v>
      </c>
      <c r="M134" s="75">
        <f>[1]!b_stm07_bs(K107,75,L107,1)</f>
        <v>5016155588.3100004</v>
      </c>
      <c r="N134" s="54" t="s">
        <v>93</v>
      </c>
      <c r="O134" s="75">
        <f>[1]!b_stm07_is(K107,55,L107,1)</f>
        <v>687765815.98000002</v>
      </c>
      <c r="P134" s="129" t="s">
        <v>94</v>
      </c>
      <c r="Q134" s="122"/>
      <c r="R134" s="122"/>
      <c r="S134" s="135">
        <f>[1]!b_stm07_cs(K107,59,L107,1)</f>
        <v>-4592576194.2700005</v>
      </c>
      <c r="T134" s="133"/>
      <c r="U134" s="133"/>
    </row>
    <row r="135" spans="1:21" ht="32.4" customHeight="1" x14ac:dyDescent="0.25">
      <c r="L135" s="54" t="s">
        <v>95</v>
      </c>
      <c r="M135" s="75">
        <f>[1]!b_stm07_bs(K107,88,L107,1)</f>
        <v>2370840834.6799998</v>
      </c>
      <c r="N135" s="54" t="s">
        <v>37</v>
      </c>
      <c r="O135" s="75">
        <f>[1]!b_stm07_is(K107,60,L107,1)</f>
        <v>533996900.19999999</v>
      </c>
      <c r="P135" s="129" t="s">
        <v>96</v>
      </c>
      <c r="Q135" s="122"/>
      <c r="R135" s="122"/>
      <c r="S135" s="134">
        <f>[1]!b_stm07_cs(K107,60,L107,1)</f>
        <v>912550000</v>
      </c>
      <c r="T135" s="133"/>
      <c r="U135" s="133"/>
    </row>
    <row r="136" spans="1:21" ht="21.6" customHeight="1" x14ac:dyDescent="0.25">
      <c r="L136" s="54" t="s">
        <v>97</v>
      </c>
      <c r="M136" s="75">
        <f>[1]!b_stm07_bs(K107,147,L107,1)</f>
        <v>0</v>
      </c>
      <c r="N136" s="54"/>
      <c r="O136" s="80"/>
      <c r="P136" s="129" t="s">
        <v>98</v>
      </c>
      <c r="Q136" s="122"/>
      <c r="R136" s="122"/>
      <c r="S136" s="134">
        <f>[1]!b_stm07_cs(K107,61,L107,1)</f>
        <v>11345921042.030001</v>
      </c>
      <c r="T136" s="133"/>
      <c r="U136" s="133"/>
    </row>
    <row r="137" spans="1:21" x14ac:dyDescent="0.25">
      <c r="L137" s="54" t="s">
        <v>99</v>
      </c>
      <c r="M137" s="75">
        <f>[1]!b_stm07_bs(K107,94,L107,1)</f>
        <v>3719180861.02</v>
      </c>
      <c r="N137" s="54"/>
      <c r="O137" s="80"/>
      <c r="P137" s="129" t="s">
        <v>100</v>
      </c>
      <c r="Q137" s="122"/>
      <c r="R137" s="122"/>
      <c r="S137" s="134">
        <f>[1]!b_stm07_cs(K107,63,L107,1)</f>
        <v>0</v>
      </c>
      <c r="T137" s="133"/>
      <c r="U137" s="133"/>
    </row>
    <row r="138" spans="1:21" x14ac:dyDescent="0.25">
      <c r="L138" s="54" t="s">
        <v>101</v>
      </c>
      <c r="M138" s="75">
        <f>[1]!b_stm07_bs(K107,95,L107,1)</f>
        <v>3151847431.27</v>
      </c>
      <c r="N138" s="54"/>
      <c r="O138" s="80"/>
      <c r="P138" s="129" t="s">
        <v>102</v>
      </c>
      <c r="Q138" s="122"/>
      <c r="R138" s="122"/>
      <c r="S138" s="135">
        <f>[1]!b_stm07_cs(K107,68,L107,1)</f>
        <v>16130105602.700001</v>
      </c>
      <c r="T138" s="133"/>
      <c r="U138" s="133"/>
    </row>
    <row r="139" spans="1:21" x14ac:dyDescent="0.25">
      <c r="L139" s="54" t="s">
        <v>103</v>
      </c>
      <c r="M139" s="81">
        <f>[1]!b_stm07_bs(K107,128,L107,1)</f>
        <v>26653572378.950001</v>
      </c>
      <c r="N139" s="14"/>
      <c r="O139" s="13"/>
      <c r="P139" s="129" t="s">
        <v>104</v>
      </c>
      <c r="Q139" s="122"/>
      <c r="R139" s="122"/>
      <c r="S139" s="134">
        <f>[1]!b_stm07_cs(K107,69,L107,1)</f>
        <v>9218995806.0900002</v>
      </c>
      <c r="T139" s="133"/>
      <c r="U139" s="133"/>
    </row>
    <row r="140" spans="1:21" ht="21.6" customHeight="1" x14ac:dyDescent="0.25">
      <c r="L140" s="54" t="s">
        <v>105</v>
      </c>
      <c r="M140" s="81">
        <f>[1]!b_stm07_bs(K107,141,L107,1)</f>
        <v>19950555412.419998</v>
      </c>
      <c r="N140" s="14"/>
      <c r="O140" s="13"/>
      <c r="P140" s="129" t="s">
        <v>106</v>
      </c>
      <c r="Q140" s="122"/>
      <c r="R140" s="122"/>
      <c r="S140" s="134">
        <f>[1]!b_stm07_cs(K107,75,L107,1)</f>
        <v>11118560790.01</v>
      </c>
      <c r="T140" s="133"/>
      <c r="U140" s="133"/>
    </row>
    <row r="141" spans="1:21" ht="21.6" customHeight="1" x14ac:dyDescent="0.25">
      <c r="L141" s="15" t="s">
        <v>107</v>
      </c>
      <c r="M141" s="81">
        <f>[1]!b_stm07_bs(K107,145,L107,1)</f>
        <v>46604127791.370003</v>
      </c>
      <c r="N141" s="14"/>
      <c r="O141" s="13"/>
      <c r="P141" s="129" t="s">
        <v>108</v>
      </c>
      <c r="Q141" s="122"/>
      <c r="R141" s="122"/>
      <c r="S141" s="135">
        <f>[1]!b_stm07_cs(K107,77,L107,1)</f>
        <v>5011544812.6899996</v>
      </c>
      <c r="T141" s="133"/>
      <c r="U141" s="133"/>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7" t="s">
        <v>1</v>
      </c>
      <c r="B1" s="116"/>
      <c r="C1" s="116"/>
      <c r="D1" s="116"/>
      <c r="E1" s="116"/>
      <c r="F1" s="116"/>
      <c r="G1" s="116"/>
    </row>
    <row r="2" spans="1:12" ht="13.5" customHeight="1" x14ac:dyDescent="0.25">
      <c r="A2" s="57" t="s">
        <v>2</v>
      </c>
      <c r="B2" s="117" t="s">
        <v>217</v>
      </c>
      <c r="C2" s="118"/>
      <c r="D2" s="57" t="s">
        <v>3</v>
      </c>
      <c r="E2" s="117" t="s">
        <v>218</v>
      </c>
      <c r="F2" s="118"/>
      <c r="G2" s="118"/>
    </row>
    <row r="3" spans="1:12" ht="14.25" customHeight="1" x14ac:dyDescent="0.25">
      <c r="A3" s="57" t="s">
        <v>4</v>
      </c>
      <c r="B3" s="117" t="s">
        <v>219</v>
      </c>
      <c r="C3" s="118"/>
      <c r="D3" s="57" t="s">
        <v>5</v>
      </c>
      <c r="E3" s="117" t="s">
        <v>220</v>
      </c>
      <c r="F3" s="118"/>
      <c r="G3" s="118"/>
    </row>
    <row r="4" spans="1:12" ht="113.25" customHeight="1" x14ac:dyDescent="0.25">
      <c r="A4" s="57" t="s">
        <v>6</v>
      </c>
      <c r="B4" s="119" t="s">
        <v>221</v>
      </c>
      <c r="C4" s="118"/>
      <c r="D4" s="118"/>
      <c r="E4" s="118"/>
      <c r="F4" s="118"/>
      <c r="G4" s="118"/>
    </row>
    <row r="5" spans="1:12" ht="14.4" x14ac:dyDescent="0.25">
      <c r="A5" s="82" t="s">
        <v>109</v>
      </c>
      <c r="B5" s="138" t="s">
        <v>222</v>
      </c>
      <c r="C5" s="118"/>
      <c r="D5" s="118"/>
      <c r="E5" s="118"/>
      <c r="F5" s="139">
        <v>1</v>
      </c>
      <c r="G5" s="118"/>
    </row>
    <row r="6" spans="1:12" ht="11.25" customHeight="1" x14ac:dyDescent="0.25">
      <c r="A6" s="82" t="s">
        <v>110</v>
      </c>
      <c r="B6" s="138" t="s">
        <v>223</v>
      </c>
      <c r="C6" s="118"/>
      <c r="D6" s="118"/>
      <c r="E6" s="118"/>
      <c r="F6" s="139" t="s">
        <v>223</v>
      </c>
      <c r="G6" s="118"/>
    </row>
    <row r="7" spans="1:12" ht="11.25" customHeight="1" x14ac:dyDescent="0.25">
      <c r="A7" s="82" t="s">
        <v>111</v>
      </c>
      <c r="B7" s="138" t="s">
        <v>223</v>
      </c>
      <c r="C7" s="118"/>
      <c r="D7" s="118"/>
      <c r="E7" s="118"/>
      <c r="F7" s="139" t="s">
        <v>223</v>
      </c>
      <c r="G7" s="118"/>
    </row>
    <row r="8" spans="1:12" ht="11.25" customHeight="1" x14ac:dyDescent="0.25">
      <c r="A8" s="82" t="s">
        <v>112</v>
      </c>
      <c r="B8" s="138" t="s">
        <v>223</v>
      </c>
      <c r="C8" s="118"/>
      <c r="D8" s="118"/>
      <c r="E8" s="118"/>
      <c r="F8" s="139" t="s">
        <v>223</v>
      </c>
      <c r="G8" s="118"/>
    </row>
    <row r="9" spans="1:12" ht="11.25" customHeight="1" x14ac:dyDescent="0.25">
      <c r="A9" s="82" t="s">
        <v>113</v>
      </c>
      <c r="B9" s="138" t="s">
        <v>223</v>
      </c>
      <c r="C9" s="118"/>
      <c r="D9" s="118"/>
      <c r="E9" s="118"/>
      <c r="F9" s="139" t="s">
        <v>223</v>
      </c>
      <c r="G9" s="118"/>
    </row>
    <row r="11" spans="1:12" ht="14.4" customHeight="1" x14ac:dyDescent="0.25">
      <c r="A11" s="140" t="s">
        <v>114</v>
      </c>
      <c r="B11" s="118"/>
      <c r="C11" s="118"/>
      <c r="D11" s="118"/>
      <c r="E11" s="118"/>
      <c r="F11" s="118"/>
      <c r="G11" s="118"/>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115</v>
      </c>
      <c r="B13" t="s">
        <v>116</v>
      </c>
      <c r="C13" t="s">
        <v>117</v>
      </c>
      <c r="D13" s="64">
        <v>6.07</v>
      </c>
      <c r="E13" s="64">
        <v>0.37260273972602742</v>
      </c>
      <c r="F13" s="65" t="s">
        <v>224</v>
      </c>
      <c r="G13" s="64">
        <v>6</v>
      </c>
    </row>
    <row r="14" spans="1:12" ht="14.4" customHeight="1" x14ac:dyDescent="0.25">
      <c r="A14" t="s">
        <v>118</v>
      </c>
      <c r="B14" t="s">
        <v>119</v>
      </c>
      <c r="C14" t="s">
        <v>120</v>
      </c>
      <c r="D14" s="64">
        <v>5.3</v>
      </c>
      <c r="E14" s="83">
        <v>0.52876712328767128</v>
      </c>
      <c r="F14" t="s">
        <v>25</v>
      </c>
      <c r="G14" s="64">
        <v>15</v>
      </c>
    </row>
    <row r="15" spans="1:12" ht="14.4" customHeight="1" x14ac:dyDescent="0.25">
      <c r="A15" t="s">
        <v>121</v>
      </c>
      <c r="B15" t="s">
        <v>122</v>
      </c>
      <c r="C15" t="s">
        <v>123</v>
      </c>
      <c r="D15" s="64">
        <v>4.4000000000000004</v>
      </c>
      <c r="E15" s="83">
        <v>0</v>
      </c>
      <c r="F15" t="s">
        <v>224</v>
      </c>
      <c r="G15" s="64">
        <v>4</v>
      </c>
    </row>
    <row r="16" spans="1:12" ht="14.4" customHeight="1" x14ac:dyDescent="0.25">
      <c r="A16" t="s">
        <v>124</v>
      </c>
      <c r="B16" t="s">
        <v>125</v>
      </c>
      <c r="C16" t="s">
        <v>126</v>
      </c>
      <c r="D16" s="64">
        <v>5.33</v>
      </c>
      <c r="E16" s="83">
        <v>0</v>
      </c>
      <c r="F16" t="s">
        <v>224</v>
      </c>
      <c r="G16" s="64">
        <v>8</v>
      </c>
    </row>
    <row r="17" spans="1:7" ht="14.4" customHeight="1" x14ac:dyDescent="0.25">
      <c r="A17" t="s">
        <v>127</v>
      </c>
      <c r="B17" t="s">
        <v>128</v>
      </c>
      <c r="C17" t="s">
        <v>129</v>
      </c>
      <c r="D17" s="64">
        <v>5.9</v>
      </c>
      <c r="E17" s="83">
        <v>0</v>
      </c>
      <c r="F17" t="s">
        <v>224</v>
      </c>
      <c r="G17" s="64">
        <v>2</v>
      </c>
    </row>
    <row r="18" spans="1:7" ht="14.4" customHeight="1" x14ac:dyDescent="0.25">
      <c r="A18" t="s">
        <v>130</v>
      </c>
      <c r="B18" t="s">
        <v>131</v>
      </c>
      <c r="C18" t="s">
        <v>132</v>
      </c>
      <c r="D18" s="64">
        <v>5.38</v>
      </c>
      <c r="E18" s="83">
        <v>0</v>
      </c>
      <c r="F18" t="s">
        <v>147</v>
      </c>
      <c r="G18" s="64">
        <v>8</v>
      </c>
    </row>
    <row r="19" spans="1:7" ht="14.4" customHeight="1" x14ac:dyDescent="0.25">
      <c r="A19" t="s">
        <v>133</v>
      </c>
      <c r="B19" t="s">
        <v>134</v>
      </c>
      <c r="C19" t="s">
        <v>135</v>
      </c>
      <c r="D19" s="64">
        <v>6.59</v>
      </c>
      <c r="E19" s="83">
        <v>0</v>
      </c>
      <c r="F19" t="s">
        <v>147</v>
      </c>
      <c r="G19" s="64">
        <v>10</v>
      </c>
    </row>
    <row r="20" spans="1:7" ht="14.4" customHeight="1" x14ac:dyDescent="0.25">
      <c r="D20" s="64"/>
      <c r="E20" s="83"/>
      <c r="G20" s="64"/>
    </row>
    <row r="21" spans="1:7" ht="14.4" customHeight="1" x14ac:dyDescent="0.25">
      <c r="D21" s="64"/>
      <c r="E21" s="83"/>
      <c r="G21" s="64"/>
    </row>
    <row r="22" spans="1:7" ht="14.4" customHeight="1" x14ac:dyDescent="0.25">
      <c r="D22" s="64"/>
      <c r="E22" s="83"/>
      <c r="G22" s="64"/>
    </row>
    <row r="23" spans="1:7" ht="14.4" customHeight="1" x14ac:dyDescent="0.25">
      <c r="D23" s="64"/>
      <c r="E23" s="83"/>
      <c r="G23" s="64"/>
    </row>
    <row r="24" spans="1:7" ht="14.4" customHeight="1" x14ac:dyDescent="0.25">
      <c r="D24" s="64"/>
      <c r="E24" s="83"/>
      <c r="G24" s="64"/>
    </row>
    <row r="25" spans="1:7" ht="14.4" customHeight="1" x14ac:dyDescent="0.25">
      <c r="A25" s="141" t="s">
        <v>136</v>
      </c>
      <c r="B25" s="141"/>
      <c r="C25" s="141"/>
      <c r="D25" s="141"/>
      <c r="E25" s="83"/>
      <c r="G25" s="64"/>
    </row>
    <row r="26" spans="1:7" ht="14.4" customHeight="1" x14ac:dyDescent="0.25">
      <c r="A26" s="84" t="s">
        <v>137</v>
      </c>
      <c r="B26" s="84" t="s">
        <v>138</v>
      </c>
      <c r="C26" s="84" t="s">
        <v>139</v>
      </c>
      <c r="D26" s="85" t="s">
        <v>140</v>
      </c>
      <c r="E26" s="83"/>
      <c r="G26" s="64"/>
    </row>
    <row r="27" spans="1:7" ht="14.4" customHeight="1" x14ac:dyDescent="0.25">
      <c r="A27" t="s">
        <v>141</v>
      </c>
      <c r="B27" t="s">
        <v>25</v>
      </c>
      <c r="C27" t="s">
        <v>142</v>
      </c>
      <c r="D27" s="64" t="s">
        <v>143</v>
      </c>
      <c r="E27" s="83"/>
      <c r="G27" s="64"/>
    </row>
    <row r="28" spans="1:7" ht="14.4" customHeight="1" x14ac:dyDescent="0.25">
      <c r="A28" t="s">
        <v>144</v>
      </c>
      <c r="B28" t="s">
        <v>25</v>
      </c>
      <c r="C28" t="s">
        <v>142</v>
      </c>
      <c r="D28" s="64" t="s">
        <v>143</v>
      </c>
      <c r="E28" s="83"/>
      <c r="G28" s="64"/>
    </row>
    <row r="29" spans="1:7" ht="14.4" customHeight="1" x14ac:dyDescent="0.25">
      <c r="A29" t="s">
        <v>145</v>
      </c>
      <c r="B29" t="s">
        <v>25</v>
      </c>
      <c r="C29" t="s">
        <v>142</v>
      </c>
      <c r="D29" s="64" t="s">
        <v>143</v>
      </c>
      <c r="E29" s="83"/>
      <c r="G29" s="64"/>
    </row>
    <row r="30" spans="1:7" ht="14.4" customHeight="1" x14ac:dyDescent="0.25">
      <c r="A30" t="s">
        <v>146</v>
      </c>
      <c r="B30" t="s">
        <v>147</v>
      </c>
      <c r="C30" t="s">
        <v>142</v>
      </c>
      <c r="D30" s="64" t="s">
        <v>143</v>
      </c>
      <c r="E30" s="83"/>
      <c r="G30" s="64"/>
    </row>
    <row r="31" spans="1:7" ht="14.4" customHeight="1" x14ac:dyDescent="0.25">
      <c r="A31" t="s">
        <v>148</v>
      </c>
      <c r="B31" t="s">
        <v>147</v>
      </c>
      <c r="C31" t="s">
        <v>142</v>
      </c>
      <c r="D31" s="64" t="s">
        <v>143</v>
      </c>
      <c r="E31" s="83"/>
      <c r="G31" s="64"/>
    </row>
    <row r="32" spans="1:7" ht="14.4" customHeight="1" x14ac:dyDescent="0.25">
      <c r="A32" t="s">
        <v>149</v>
      </c>
      <c r="B32" t="s">
        <v>147</v>
      </c>
      <c r="C32" t="s">
        <v>142</v>
      </c>
      <c r="D32" s="64" t="s">
        <v>143</v>
      </c>
      <c r="E32" s="83"/>
      <c r="G32" s="64"/>
    </row>
    <row r="33" spans="1:7" ht="14.4" customHeight="1" x14ac:dyDescent="0.25">
      <c r="A33" t="s">
        <v>150</v>
      </c>
      <c r="B33" t="s">
        <v>147</v>
      </c>
      <c r="C33" t="s">
        <v>142</v>
      </c>
      <c r="D33" s="64" t="s">
        <v>143</v>
      </c>
      <c r="E33" s="83"/>
      <c r="G33" s="64"/>
    </row>
    <row r="34" spans="1:7" ht="14.4" customHeight="1" x14ac:dyDescent="0.25">
      <c r="A34" t="s">
        <v>151</v>
      </c>
      <c r="B34" t="s">
        <v>147</v>
      </c>
      <c r="C34" t="s">
        <v>142</v>
      </c>
      <c r="D34" s="64" t="s">
        <v>143</v>
      </c>
      <c r="E34" s="83"/>
      <c r="G34" s="64"/>
    </row>
    <row r="35" spans="1:7" ht="14.4" customHeight="1" x14ac:dyDescent="0.25">
      <c r="A35" t="s">
        <v>152</v>
      </c>
      <c r="B35" t="s">
        <v>147</v>
      </c>
      <c r="C35" t="s">
        <v>142</v>
      </c>
      <c r="D35" s="64" t="s">
        <v>143</v>
      </c>
      <c r="E35" s="83"/>
      <c r="G35" s="64"/>
    </row>
    <row r="36" spans="1:7" ht="14.4" customHeight="1" x14ac:dyDescent="0.25">
      <c r="A36" t="s">
        <v>153</v>
      </c>
      <c r="B36" t="s">
        <v>147</v>
      </c>
      <c r="C36" t="s">
        <v>142</v>
      </c>
      <c r="D36" s="64" t="s">
        <v>143</v>
      </c>
      <c r="E36" s="83"/>
      <c r="G36" s="64"/>
    </row>
    <row r="37" spans="1:7" ht="14.4" customHeight="1" x14ac:dyDescent="0.25">
      <c r="A37" t="s">
        <v>154</v>
      </c>
      <c r="B37" t="s">
        <v>147</v>
      </c>
      <c r="C37" t="s">
        <v>142</v>
      </c>
      <c r="D37" s="64" t="s">
        <v>143</v>
      </c>
      <c r="E37" s="83"/>
      <c r="G37" s="64"/>
    </row>
    <row r="38" spans="1:7" ht="14.4" customHeight="1" x14ac:dyDescent="0.25">
      <c r="A38" t="s">
        <v>155</v>
      </c>
      <c r="B38" t="s">
        <v>147</v>
      </c>
      <c r="C38" t="s">
        <v>142</v>
      </c>
      <c r="D38" s="64" t="s">
        <v>143</v>
      </c>
      <c r="E38" s="83"/>
      <c r="G38" s="64"/>
    </row>
    <row r="39" spans="1:7" ht="14.4" customHeight="1" x14ac:dyDescent="0.25">
      <c r="A39" t="s">
        <v>156</v>
      </c>
      <c r="B39" t="s">
        <v>147</v>
      </c>
      <c r="C39" t="s">
        <v>142</v>
      </c>
      <c r="D39" s="64" t="s">
        <v>143</v>
      </c>
      <c r="E39" s="83"/>
      <c r="G39" s="64"/>
    </row>
    <row r="40" spans="1:7" ht="14.4" customHeight="1" x14ac:dyDescent="0.25">
      <c r="A40" t="s">
        <v>128</v>
      </c>
      <c r="B40" t="s">
        <v>147</v>
      </c>
      <c r="C40" t="s">
        <v>142</v>
      </c>
      <c r="D40" s="64" t="s">
        <v>143</v>
      </c>
      <c r="E40" s="83"/>
      <c r="G40" s="64"/>
    </row>
    <row r="41" spans="1:7" ht="14.4" customHeight="1" x14ac:dyDescent="0.25">
      <c r="A41" t="s">
        <v>157</v>
      </c>
      <c r="B41" t="s">
        <v>147</v>
      </c>
      <c r="C41" t="s">
        <v>142</v>
      </c>
      <c r="D41" s="64" t="s">
        <v>143</v>
      </c>
      <c r="E41" s="83"/>
      <c r="G41" s="64"/>
    </row>
    <row r="42" spans="1:7" ht="14.4" customHeight="1" x14ac:dyDescent="0.25">
      <c r="A42" t="s">
        <v>158</v>
      </c>
      <c r="B42" t="s">
        <v>147</v>
      </c>
      <c r="C42" t="s">
        <v>142</v>
      </c>
      <c r="D42" s="64" t="s">
        <v>143</v>
      </c>
      <c r="E42" s="83"/>
      <c r="G42" s="64"/>
    </row>
    <row r="43" spans="1:7" ht="14.4" customHeight="1" x14ac:dyDescent="0.25">
      <c r="A43" t="s">
        <v>159</v>
      </c>
      <c r="B43" t="s">
        <v>147</v>
      </c>
      <c r="C43" t="s">
        <v>142</v>
      </c>
      <c r="D43" s="64" t="s">
        <v>143</v>
      </c>
      <c r="E43" s="83"/>
      <c r="G43" s="64"/>
    </row>
    <row r="44" spans="1:7" ht="14.4" customHeight="1" x14ac:dyDescent="0.25">
      <c r="A44" t="s">
        <v>160</v>
      </c>
      <c r="B44" t="s">
        <v>147</v>
      </c>
      <c r="C44" t="s">
        <v>142</v>
      </c>
      <c r="D44" s="64" t="s">
        <v>143</v>
      </c>
      <c r="E44" s="83"/>
      <c r="G44" s="64"/>
    </row>
    <row r="45" spans="1:7" ht="14.4" customHeight="1" x14ac:dyDescent="0.25">
      <c r="A45" t="s">
        <v>161</v>
      </c>
      <c r="B45" t="s">
        <v>147</v>
      </c>
      <c r="C45" t="s">
        <v>142</v>
      </c>
      <c r="D45" s="64" t="s">
        <v>143</v>
      </c>
      <c r="E45" s="83"/>
      <c r="G45" s="64"/>
    </row>
    <row r="46" spans="1:7" ht="14.4" customHeight="1" x14ac:dyDescent="0.25">
      <c r="D46" s="64"/>
      <c r="E46" s="83"/>
      <c r="G46" s="64"/>
    </row>
    <row r="47" spans="1:7" ht="14.4" customHeight="1" x14ac:dyDescent="0.25">
      <c r="D47" s="64"/>
      <c r="E47" s="83"/>
      <c r="G47" s="64"/>
    </row>
    <row r="48" spans="1:7" ht="14.4" customHeight="1" x14ac:dyDescent="0.25">
      <c r="D48" s="64"/>
      <c r="E48" s="83"/>
      <c r="G48" s="64"/>
    </row>
    <row r="49" spans="4:7" ht="14.4" customHeight="1" x14ac:dyDescent="0.25">
      <c r="D49" s="64"/>
      <c r="E49" s="83"/>
      <c r="G49" s="64"/>
    </row>
    <row r="50" spans="4:7" ht="14.4" customHeight="1" x14ac:dyDescent="0.25">
      <c r="D50" s="64"/>
      <c r="E50" s="83"/>
      <c r="G50" s="64"/>
    </row>
    <row r="51" spans="4:7" ht="14.4" customHeight="1" x14ac:dyDescent="0.25">
      <c r="D51" s="64"/>
      <c r="E51" s="83"/>
      <c r="G51" s="64"/>
    </row>
    <row r="52" spans="4:7" ht="14.4" customHeight="1" x14ac:dyDescent="0.25">
      <c r="D52" s="64"/>
      <c r="E52" s="83"/>
      <c r="G52" s="64"/>
    </row>
    <row r="53" spans="4:7" ht="14.4" customHeight="1" x14ac:dyDescent="0.25">
      <c r="D53" s="64"/>
      <c r="E53" s="83"/>
      <c r="G53" s="64"/>
    </row>
    <row r="54" spans="4:7" ht="14.4" customHeight="1" x14ac:dyDescent="0.25">
      <c r="D54" s="64"/>
      <c r="E54" s="83"/>
      <c r="G54" s="64"/>
    </row>
    <row r="55" spans="4:7" ht="14.4" customHeight="1" x14ac:dyDescent="0.25">
      <c r="D55" s="64"/>
      <c r="E55" s="83"/>
      <c r="G55" s="64"/>
    </row>
    <row r="56" spans="4:7" ht="14.4" customHeight="1" x14ac:dyDescent="0.25">
      <c r="D56" s="64"/>
      <c r="E56" s="83"/>
      <c r="G56" s="64"/>
    </row>
    <row r="57" spans="4:7" ht="14.4" customHeight="1" x14ac:dyDescent="0.25">
      <c r="D57" s="64"/>
      <c r="E57" s="83"/>
      <c r="G57" s="64"/>
    </row>
    <row r="58" spans="4:7" ht="14.4" customHeight="1" x14ac:dyDescent="0.25">
      <c r="D58" s="64"/>
      <c r="E58" s="83"/>
      <c r="G58" s="64"/>
    </row>
    <row r="59" spans="4:7" ht="14.4" customHeight="1" x14ac:dyDescent="0.25">
      <c r="D59" s="64"/>
      <c r="E59" s="83"/>
      <c r="G59" s="64"/>
    </row>
    <row r="60" spans="4:7" ht="14.4" customHeight="1" x14ac:dyDescent="0.25">
      <c r="D60" s="64"/>
      <c r="E60" s="83"/>
      <c r="G60" s="64"/>
    </row>
    <row r="61" spans="4:7" ht="14.4" customHeight="1" x14ac:dyDescent="0.25">
      <c r="D61" s="64"/>
      <c r="E61" s="83"/>
      <c r="G61" s="64"/>
    </row>
    <row r="62" spans="4:7" ht="14.4" customHeight="1" x14ac:dyDescent="0.25">
      <c r="D62" s="64"/>
      <c r="E62" s="83"/>
      <c r="G62" s="64"/>
    </row>
    <row r="63" spans="4:7" ht="14.4" customHeight="1" x14ac:dyDescent="0.25">
      <c r="D63" s="64"/>
      <c r="E63" s="83"/>
      <c r="G63" s="64"/>
    </row>
    <row r="64" spans="4: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162</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25:D25"/>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2" t="s">
        <v>48</v>
      </c>
      <c r="B1" s="118"/>
      <c r="C1" s="118"/>
      <c r="D1" s="118"/>
      <c r="E1" s="118"/>
      <c r="F1" s="118"/>
      <c r="G1" s="118"/>
      <c r="H1" s="118"/>
      <c r="I1" s="118"/>
      <c r="J1" s="118"/>
    </row>
    <row r="2" spans="1:10" x14ac:dyDescent="0.25">
      <c r="A2" s="140" t="s">
        <v>49</v>
      </c>
      <c r="B2" s="118"/>
      <c r="C2" s="118"/>
      <c r="D2" s="118"/>
      <c r="E2" s="118"/>
      <c r="F2" s="118"/>
      <c r="G2" s="143">
        <v>2017</v>
      </c>
      <c r="H2" s="118"/>
      <c r="I2" s="118"/>
      <c r="J2" s="118"/>
    </row>
    <row r="3" spans="1:10" ht="12.75" customHeight="1" x14ac:dyDescent="0.25">
      <c r="A3" s="140" t="s">
        <v>50</v>
      </c>
      <c r="B3" s="118"/>
      <c r="C3" s="140" t="s">
        <v>51</v>
      </c>
      <c r="D3" s="118"/>
      <c r="E3" s="140" t="s">
        <v>52</v>
      </c>
      <c r="F3" s="118"/>
      <c r="G3" s="140" t="s">
        <v>53</v>
      </c>
      <c r="H3" s="118"/>
      <c r="I3" s="140" t="s">
        <v>54</v>
      </c>
      <c r="J3" s="118"/>
    </row>
    <row r="4" spans="1:10" ht="21.6" customHeight="1" x14ac:dyDescent="0.25">
      <c r="A4" s="57" t="s">
        <v>55</v>
      </c>
      <c r="B4" s="86">
        <v>0.57191400000000003</v>
      </c>
      <c r="C4" s="57" t="s">
        <v>31</v>
      </c>
      <c r="D4" s="87">
        <v>1.2262</v>
      </c>
      <c r="E4" s="57" t="s">
        <v>35</v>
      </c>
      <c r="F4" s="86">
        <v>0.75270000000000015</v>
      </c>
      <c r="G4" s="57" t="s">
        <v>36</v>
      </c>
      <c r="H4" s="86">
        <v>0.226857</v>
      </c>
      <c r="I4" s="57"/>
      <c r="J4" s="88"/>
    </row>
    <row r="5" spans="1:10" ht="15.75" customHeight="1" x14ac:dyDescent="0.25">
      <c r="A5" s="57" t="s">
        <v>56</v>
      </c>
      <c r="B5" s="86">
        <v>0.45621899999999999</v>
      </c>
      <c r="C5" s="57" t="s">
        <v>57</v>
      </c>
      <c r="D5" s="87">
        <v>0.97160000000000002</v>
      </c>
      <c r="E5" s="57" t="s">
        <v>58</v>
      </c>
      <c r="F5" s="87">
        <v>4.5194000000000001</v>
      </c>
      <c r="G5" s="57" t="s">
        <v>59</v>
      </c>
      <c r="H5" s="86">
        <v>3.4889999999999997E-2</v>
      </c>
      <c r="I5" s="57"/>
      <c r="J5" s="88"/>
    </row>
    <row r="6" spans="1:10" ht="15" customHeight="1" x14ac:dyDescent="0.25">
      <c r="A6" s="57" t="s">
        <v>60</v>
      </c>
      <c r="B6" s="86">
        <v>0.650528</v>
      </c>
      <c r="C6" s="57" t="s">
        <v>33</v>
      </c>
      <c r="D6" s="89">
        <v>8.9200000000000002E-2</v>
      </c>
      <c r="E6" s="57" t="s">
        <v>61</v>
      </c>
      <c r="F6" s="87">
        <v>2.9933999999999998</v>
      </c>
      <c r="G6" s="57" t="s">
        <v>39</v>
      </c>
      <c r="H6" s="86">
        <v>4.2759999999999994E-3</v>
      </c>
      <c r="I6" s="57"/>
      <c r="J6" s="88"/>
    </row>
    <row r="7" spans="1:10" ht="14.25" customHeight="1" x14ac:dyDescent="0.25">
      <c r="A7" s="57" t="s">
        <v>32</v>
      </c>
      <c r="B7" s="89">
        <v>0.72148260039162559</v>
      </c>
      <c r="C7" s="57" t="s">
        <v>62</v>
      </c>
      <c r="D7" s="89">
        <v>2.6720000000000002</v>
      </c>
      <c r="E7" s="57" t="s">
        <v>63</v>
      </c>
      <c r="F7" s="87">
        <v>0.85860000000000003</v>
      </c>
      <c r="G7" s="57" t="s">
        <v>64</v>
      </c>
      <c r="H7" s="86">
        <v>2.5691000000000002E-2</v>
      </c>
      <c r="I7" s="57"/>
      <c r="J7" s="88"/>
    </row>
    <row r="8" spans="1:10" x14ac:dyDescent="0.25">
      <c r="A8" s="57"/>
      <c r="B8" s="90"/>
      <c r="C8" s="57"/>
      <c r="D8" s="91"/>
      <c r="E8" s="57" t="s">
        <v>65</v>
      </c>
      <c r="F8" s="87">
        <v>0.39550000000000002</v>
      </c>
      <c r="G8" s="57"/>
      <c r="H8" s="90"/>
      <c r="I8" s="57"/>
      <c r="J8" s="90"/>
    </row>
    <row r="9" spans="1:10" ht="13.5" customHeight="1" x14ac:dyDescent="0.25">
      <c r="A9" s="142" t="s">
        <v>66</v>
      </c>
      <c r="B9" s="118"/>
      <c r="C9" s="118"/>
      <c r="D9" s="118"/>
      <c r="E9" s="118"/>
      <c r="F9" s="118"/>
      <c r="G9" s="118"/>
      <c r="H9" s="118"/>
      <c r="I9" s="118"/>
      <c r="J9" s="118"/>
    </row>
    <row r="10" spans="1:10" ht="13.5" customHeight="1" x14ac:dyDescent="0.25">
      <c r="A10" s="140" t="s">
        <v>67</v>
      </c>
      <c r="B10" s="118"/>
      <c r="C10" s="118"/>
      <c r="D10" s="118"/>
      <c r="E10" s="118"/>
      <c r="F10" s="118"/>
      <c r="G10" s="144">
        <v>2017</v>
      </c>
      <c r="H10" s="118"/>
      <c r="I10" s="118"/>
      <c r="J10" s="118"/>
    </row>
    <row r="11" spans="1:10" x14ac:dyDescent="0.25">
      <c r="A11" s="140" t="s">
        <v>68</v>
      </c>
      <c r="B11" s="118"/>
      <c r="C11" s="140" t="s">
        <v>69</v>
      </c>
      <c r="D11" s="118"/>
      <c r="E11" s="140" t="s">
        <v>70</v>
      </c>
      <c r="F11" s="118"/>
      <c r="G11" s="118"/>
      <c r="H11" s="118"/>
      <c r="I11" s="118"/>
      <c r="J11" s="118"/>
    </row>
    <row r="12" spans="1:10" ht="14.25" customHeight="1" x14ac:dyDescent="0.25">
      <c r="A12" s="57" t="s">
        <v>71</v>
      </c>
      <c r="B12" s="92">
        <v>84.782479693699997</v>
      </c>
      <c r="C12" s="57" t="s">
        <v>72</v>
      </c>
      <c r="D12" s="89">
        <v>169.21878088080001</v>
      </c>
      <c r="E12" s="145" t="s">
        <v>73</v>
      </c>
      <c r="F12" s="118"/>
      <c r="G12" s="118"/>
      <c r="H12" s="146">
        <v>127.36675106850001</v>
      </c>
      <c r="I12" s="118"/>
      <c r="J12" s="118"/>
    </row>
    <row r="13" spans="1:10" ht="14.25" customHeight="1" x14ac:dyDescent="0.25">
      <c r="A13" s="57" t="s">
        <v>74</v>
      </c>
      <c r="B13" s="92">
        <v>40.315124095800002</v>
      </c>
      <c r="C13" s="57" t="s">
        <v>75</v>
      </c>
      <c r="D13" s="89">
        <v>172.3938003646</v>
      </c>
      <c r="E13" s="145" t="s">
        <v>76</v>
      </c>
      <c r="F13" s="118"/>
      <c r="G13" s="118"/>
      <c r="H13" s="146">
        <v>23.665703089800001</v>
      </c>
      <c r="I13" s="118"/>
      <c r="J13" s="118"/>
    </row>
    <row r="14" spans="1:10" ht="14.25" customHeight="1" x14ac:dyDescent="0.25">
      <c r="A14" s="57" t="s">
        <v>77</v>
      </c>
      <c r="B14" s="92">
        <v>12.416425085799998</v>
      </c>
      <c r="C14" s="57" t="s">
        <v>78</v>
      </c>
      <c r="D14" s="89">
        <v>130.83039942549999</v>
      </c>
      <c r="E14" s="145" t="s">
        <v>79</v>
      </c>
      <c r="F14" s="118"/>
      <c r="G14" s="118"/>
      <c r="H14" s="146">
        <v>154.78498022330001</v>
      </c>
      <c r="I14" s="118"/>
      <c r="J14" s="118"/>
    </row>
    <row r="15" spans="1:10" ht="14.25" customHeight="1" x14ac:dyDescent="0.25">
      <c r="A15" s="57" t="s">
        <v>80</v>
      </c>
      <c r="B15" s="92">
        <v>135.72779956069999</v>
      </c>
      <c r="C15" s="57" t="s">
        <v>81</v>
      </c>
      <c r="D15" s="89">
        <v>2.6637633489999999</v>
      </c>
      <c r="E15" s="145" t="s">
        <v>82</v>
      </c>
      <c r="F15" s="118"/>
      <c r="G15" s="118"/>
      <c r="H15" s="146">
        <v>85.319893794799995</v>
      </c>
      <c r="I15" s="118"/>
      <c r="J15" s="118"/>
    </row>
    <row r="16" spans="1:10" ht="14.25" customHeight="1" x14ac:dyDescent="0.25">
      <c r="A16" s="57" t="s">
        <v>83</v>
      </c>
      <c r="B16" s="92">
        <v>41.844658806600002</v>
      </c>
      <c r="C16" s="57" t="s">
        <v>84</v>
      </c>
      <c r="D16" s="89">
        <v>23.598693767199997</v>
      </c>
      <c r="E16" s="145" t="s">
        <v>85</v>
      </c>
      <c r="F16" s="118"/>
      <c r="G16" s="118"/>
      <c r="H16" s="146">
        <v>27.3322414716</v>
      </c>
      <c r="I16" s="118"/>
      <c r="J16" s="118"/>
    </row>
    <row r="17" spans="1:10" ht="14.25" customHeight="1" x14ac:dyDescent="0.25">
      <c r="A17" s="57" t="s">
        <v>86</v>
      </c>
      <c r="B17" s="92">
        <v>12.212663260399999</v>
      </c>
      <c r="C17" s="57" t="s">
        <v>87</v>
      </c>
      <c r="D17" s="89">
        <v>5.1017334581</v>
      </c>
      <c r="E17" s="145" t="s">
        <v>88</v>
      </c>
      <c r="F17" s="118"/>
      <c r="G17" s="118"/>
      <c r="H17" s="146">
        <v>146.37029094159999</v>
      </c>
      <c r="I17" s="118"/>
      <c r="J17" s="118"/>
    </row>
    <row r="18" spans="1:10" ht="14.25" customHeight="1" x14ac:dyDescent="0.25">
      <c r="A18" s="57" t="s">
        <v>89</v>
      </c>
      <c r="B18" s="92">
        <v>466.04127791370001</v>
      </c>
      <c r="C18" s="57" t="s">
        <v>90</v>
      </c>
      <c r="D18" s="89">
        <v>5.9039756715999996</v>
      </c>
      <c r="E18" s="145" t="s">
        <v>91</v>
      </c>
      <c r="F18" s="118"/>
      <c r="G18" s="118"/>
      <c r="H18" s="146">
        <v>8.4146892816999994</v>
      </c>
      <c r="I18" s="118"/>
      <c r="J18" s="118"/>
    </row>
    <row r="19" spans="1:10" ht="14.25" customHeight="1" x14ac:dyDescent="0.25">
      <c r="A19" s="57" t="s">
        <v>92</v>
      </c>
      <c r="B19" s="92">
        <v>50.161555883100007</v>
      </c>
      <c r="C19" s="57" t="s">
        <v>93</v>
      </c>
      <c r="D19" s="89">
        <v>6.8776581598000002</v>
      </c>
      <c r="E19" s="145" t="s">
        <v>94</v>
      </c>
      <c r="F19" s="118"/>
      <c r="G19" s="118"/>
      <c r="H19" s="146">
        <v>-45.925761942700007</v>
      </c>
      <c r="I19" s="118"/>
      <c r="J19" s="118"/>
    </row>
    <row r="20" spans="1:10" ht="27" customHeight="1" x14ac:dyDescent="0.25">
      <c r="A20" s="57" t="s">
        <v>95</v>
      </c>
      <c r="B20" s="92">
        <v>23.708408346799999</v>
      </c>
      <c r="C20" s="57" t="s">
        <v>37</v>
      </c>
      <c r="D20" s="89">
        <v>5.3399690020000001</v>
      </c>
      <c r="E20" s="145" t="s">
        <v>96</v>
      </c>
      <c r="F20" s="118"/>
      <c r="G20" s="118"/>
      <c r="H20" s="146">
        <v>9.1255000000000006</v>
      </c>
      <c r="I20" s="118"/>
      <c r="J20" s="118"/>
    </row>
    <row r="21" spans="1:10" ht="16.5" customHeight="1" x14ac:dyDescent="0.25">
      <c r="A21" s="57" t="s">
        <v>97</v>
      </c>
      <c r="B21" s="92">
        <v>0</v>
      </c>
      <c r="C21" s="57"/>
      <c r="D21" s="93"/>
      <c r="E21" s="145" t="s">
        <v>98</v>
      </c>
      <c r="F21" s="118"/>
      <c r="G21" s="118"/>
      <c r="H21" s="146">
        <v>113.45921042030001</v>
      </c>
      <c r="I21" s="118"/>
      <c r="J21" s="118"/>
    </row>
    <row r="22" spans="1:10" ht="14.25" customHeight="1" x14ac:dyDescent="0.25">
      <c r="A22" s="57" t="s">
        <v>99</v>
      </c>
      <c r="B22" s="92">
        <v>37.191808610199999</v>
      </c>
      <c r="C22" s="57"/>
      <c r="D22" s="93"/>
      <c r="E22" s="145" t="s">
        <v>100</v>
      </c>
      <c r="F22" s="118"/>
      <c r="G22" s="118"/>
      <c r="H22" s="146">
        <v>0</v>
      </c>
      <c r="I22" s="118"/>
      <c r="J22" s="118"/>
    </row>
    <row r="23" spans="1:10" ht="14.25" customHeight="1" x14ac:dyDescent="0.25">
      <c r="A23" s="57" t="s">
        <v>101</v>
      </c>
      <c r="B23" s="92">
        <v>31.5184743127</v>
      </c>
      <c r="C23" s="57"/>
      <c r="D23" s="93"/>
      <c r="E23" s="145" t="s">
        <v>102</v>
      </c>
      <c r="F23" s="118"/>
      <c r="G23" s="118"/>
      <c r="H23" s="146">
        <v>161.30105602700002</v>
      </c>
      <c r="I23" s="118"/>
      <c r="J23" s="118"/>
    </row>
    <row r="24" spans="1:10" ht="14.25" customHeight="1" x14ac:dyDescent="0.25">
      <c r="A24" s="57" t="s">
        <v>103</v>
      </c>
      <c r="B24" s="92">
        <v>266.53572378950003</v>
      </c>
      <c r="C24" s="94"/>
      <c r="D24" s="91"/>
      <c r="E24" s="145" t="s">
        <v>104</v>
      </c>
      <c r="F24" s="118"/>
      <c r="G24" s="118"/>
      <c r="H24" s="146">
        <v>92.189958060899997</v>
      </c>
      <c r="I24" s="118"/>
      <c r="J24" s="118"/>
    </row>
    <row r="25" spans="1:10" ht="14.25" customHeight="1" x14ac:dyDescent="0.25">
      <c r="A25" s="57" t="s">
        <v>105</v>
      </c>
      <c r="B25" s="92">
        <v>199.50555412419999</v>
      </c>
      <c r="C25" s="94"/>
      <c r="D25" s="91"/>
      <c r="E25" s="145" t="s">
        <v>106</v>
      </c>
      <c r="F25" s="118"/>
      <c r="G25" s="118"/>
      <c r="H25" s="146">
        <v>111.1856079001</v>
      </c>
      <c r="I25" s="118"/>
      <c r="J25" s="118"/>
    </row>
    <row r="26" spans="1:10" ht="14.25" customHeight="1" x14ac:dyDescent="0.25">
      <c r="A26" s="95" t="s">
        <v>107</v>
      </c>
      <c r="B26" s="92">
        <v>466.04127791370001</v>
      </c>
      <c r="C26" s="94"/>
      <c r="D26" s="91"/>
      <c r="E26" s="145" t="s">
        <v>108</v>
      </c>
      <c r="F26" s="118"/>
      <c r="G26" s="118"/>
      <c r="H26" s="146">
        <v>50.115448126899999</v>
      </c>
      <c r="I26" s="118"/>
      <c r="J26" s="118"/>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1" t="s">
        <v>163</v>
      </c>
      <c r="B1" s="122"/>
      <c r="C1" s="122"/>
      <c r="D1" s="122"/>
      <c r="E1" s="122"/>
      <c r="F1" s="122"/>
      <c r="G1" s="122"/>
      <c r="H1" s="122"/>
      <c r="I1" s="122"/>
    </row>
    <row r="2" spans="1:10" ht="46.5" customHeight="1" x14ac:dyDescent="0.25">
      <c r="A2" s="54" t="s">
        <v>22</v>
      </c>
      <c r="B2" s="43" t="s">
        <v>217</v>
      </c>
      <c r="C2" s="43" t="s">
        <v>164</v>
      </c>
      <c r="D2" s="43" t="s">
        <v>225</v>
      </c>
      <c r="E2" s="43" t="s">
        <v>223</v>
      </c>
      <c r="F2" s="43" t="s">
        <v>223</v>
      </c>
      <c r="G2" s="43" t="s">
        <v>223</v>
      </c>
      <c r="H2" s="43" t="s">
        <v>223</v>
      </c>
      <c r="I2" s="43" t="s">
        <v>223</v>
      </c>
      <c r="J2" s="43" t="s">
        <v>223</v>
      </c>
    </row>
    <row r="3" spans="1:10" x14ac:dyDescent="0.25">
      <c r="A3" s="54" t="s">
        <v>24</v>
      </c>
      <c r="B3" s="97" t="s">
        <v>25</v>
      </c>
      <c r="C3" s="98" t="s">
        <v>165</v>
      </c>
      <c r="D3" s="97" t="s">
        <v>25</v>
      </c>
      <c r="E3" s="97" t="s">
        <v>223</v>
      </c>
      <c r="F3" s="97" t="s">
        <v>223</v>
      </c>
      <c r="G3" s="97" t="s">
        <v>223</v>
      </c>
      <c r="H3" s="97" t="s">
        <v>223</v>
      </c>
      <c r="I3" s="97" t="s">
        <v>223</v>
      </c>
      <c r="J3" s="97" t="s">
        <v>223</v>
      </c>
    </row>
    <row r="4" spans="1:10" s="7" customFormat="1" ht="21.6" x14ac:dyDescent="0.25">
      <c r="A4" s="9" t="s">
        <v>3</v>
      </c>
      <c r="B4" s="99" t="s">
        <v>218</v>
      </c>
      <c r="C4" s="98" t="s">
        <v>165</v>
      </c>
      <c r="D4" s="99" t="s">
        <v>226</v>
      </c>
      <c r="E4" s="99" t="s">
        <v>223</v>
      </c>
      <c r="F4" s="99" t="s">
        <v>223</v>
      </c>
      <c r="G4" s="99" t="s">
        <v>223</v>
      </c>
      <c r="H4" s="99" t="s">
        <v>223</v>
      </c>
      <c r="I4" s="99" t="s">
        <v>223</v>
      </c>
      <c r="J4" s="99" t="s">
        <v>223</v>
      </c>
    </row>
    <row r="5" spans="1:10" s="7" customFormat="1" x14ac:dyDescent="0.25">
      <c r="A5" s="9" t="s">
        <v>27</v>
      </c>
      <c r="B5" s="100" t="s">
        <v>28</v>
      </c>
      <c r="C5" s="98" t="s">
        <v>165</v>
      </c>
      <c r="D5" s="100" t="s">
        <v>28</v>
      </c>
      <c r="E5" s="100" t="s">
        <v>223</v>
      </c>
      <c r="F5" s="100" t="s">
        <v>223</v>
      </c>
      <c r="G5" s="100" t="s">
        <v>223</v>
      </c>
      <c r="H5" s="100" t="s">
        <v>223</v>
      </c>
      <c r="I5" s="100" t="s">
        <v>223</v>
      </c>
      <c r="J5" s="100" t="s">
        <v>223</v>
      </c>
    </row>
    <row r="6" spans="1:10" x14ac:dyDescent="0.25">
      <c r="A6" s="54" t="s">
        <v>29</v>
      </c>
      <c r="B6" s="101">
        <v>466.04127791370001</v>
      </c>
      <c r="C6" s="98">
        <v>530.31938613969999</v>
      </c>
      <c r="D6" s="101">
        <v>530.31938613969999</v>
      </c>
      <c r="E6" s="101" t="s">
        <v>223</v>
      </c>
      <c r="F6" s="101" t="s">
        <v>223</v>
      </c>
      <c r="G6" s="101" t="s">
        <v>223</v>
      </c>
      <c r="H6" s="101" t="s">
        <v>223</v>
      </c>
      <c r="I6" s="101" t="s">
        <v>223</v>
      </c>
      <c r="J6" s="101" t="s">
        <v>223</v>
      </c>
    </row>
    <row r="7" spans="1:10" x14ac:dyDescent="0.25">
      <c r="A7" s="54" t="s">
        <v>30</v>
      </c>
      <c r="B7" s="44">
        <v>0.57191400000000003</v>
      </c>
      <c r="C7" s="98">
        <v>0.64065299999999992</v>
      </c>
      <c r="D7" s="44">
        <v>0.64065299999999992</v>
      </c>
      <c r="E7" s="44" t="s">
        <v>223</v>
      </c>
      <c r="F7" s="44" t="s">
        <v>223</v>
      </c>
      <c r="G7" s="44" t="s">
        <v>223</v>
      </c>
      <c r="H7" s="44" t="s">
        <v>223</v>
      </c>
      <c r="I7" s="44" t="s">
        <v>223</v>
      </c>
      <c r="J7" s="44" t="s">
        <v>223</v>
      </c>
    </row>
    <row r="8" spans="1:10" x14ac:dyDescent="0.25">
      <c r="A8" s="54" t="s">
        <v>31</v>
      </c>
      <c r="B8" s="101">
        <v>1.2262</v>
      </c>
      <c r="C8" s="98">
        <v>1.2623</v>
      </c>
      <c r="D8" s="101">
        <v>1.2623</v>
      </c>
      <c r="E8" s="101" t="s">
        <v>223</v>
      </c>
      <c r="F8" s="101" t="s">
        <v>223</v>
      </c>
      <c r="G8" s="101" t="s">
        <v>223</v>
      </c>
      <c r="H8" s="101" t="s">
        <v>223</v>
      </c>
      <c r="I8" s="101" t="s">
        <v>223</v>
      </c>
      <c r="J8" s="101" t="s">
        <v>223</v>
      </c>
    </row>
    <row r="9" spans="1:10" x14ac:dyDescent="0.25">
      <c r="A9" s="54" t="s">
        <v>32</v>
      </c>
      <c r="B9" s="97">
        <v>0.72148260039162559</v>
      </c>
      <c r="C9" s="98">
        <v>1.1461226444590147</v>
      </c>
      <c r="D9" s="97">
        <v>1.1461226444590147</v>
      </c>
      <c r="E9" s="97" t="s">
        <v>223</v>
      </c>
      <c r="F9" s="97" t="s">
        <v>223</v>
      </c>
      <c r="G9" s="97" t="s">
        <v>223</v>
      </c>
      <c r="H9" s="97" t="s">
        <v>223</v>
      </c>
      <c r="I9" s="97" t="s">
        <v>223</v>
      </c>
      <c r="J9" s="97" t="s">
        <v>223</v>
      </c>
    </row>
    <row r="10" spans="1:10" ht="21.6" customHeight="1" x14ac:dyDescent="0.25">
      <c r="A10" s="54" t="s">
        <v>33</v>
      </c>
      <c r="B10" s="101">
        <v>8.9200000000000002E-2</v>
      </c>
      <c r="C10" s="98">
        <v>0.1477</v>
      </c>
      <c r="D10" s="101">
        <v>0.1477</v>
      </c>
      <c r="E10" s="101" t="s">
        <v>223</v>
      </c>
      <c r="F10" s="101" t="s">
        <v>223</v>
      </c>
      <c r="G10" s="101" t="s">
        <v>223</v>
      </c>
      <c r="H10" s="101" t="s">
        <v>223</v>
      </c>
      <c r="I10" s="101" t="s">
        <v>223</v>
      </c>
      <c r="J10" s="101" t="s">
        <v>223</v>
      </c>
    </row>
    <row r="11" spans="1:10" x14ac:dyDescent="0.25">
      <c r="A11" s="54" t="s">
        <v>34</v>
      </c>
      <c r="B11" s="101">
        <v>169.21878088080001</v>
      </c>
      <c r="C11" s="98">
        <v>332.27603365589999</v>
      </c>
      <c r="D11" s="101">
        <v>332.27603365589999</v>
      </c>
      <c r="E11" s="101" t="s">
        <v>223</v>
      </c>
      <c r="F11" s="101" t="s">
        <v>223</v>
      </c>
      <c r="G11" s="101" t="s">
        <v>223</v>
      </c>
      <c r="H11" s="101" t="s">
        <v>223</v>
      </c>
      <c r="I11" s="101" t="s">
        <v>223</v>
      </c>
      <c r="J11" s="101" t="s">
        <v>223</v>
      </c>
    </row>
    <row r="12" spans="1:10" s="7" customFormat="1" x14ac:dyDescent="0.25">
      <c r="A12" s="9" t="s">
        <v>35</v>
      </c>
      <c r="B12" s="45">
        <v>0.75270000000000015</v>
      </c>
      <c r="C12" s="98">
        <v>1.0568</v>
      </c>
      <c r="D12" s="45">
        <v>1.0568</v>
      </c>
      <c r="E12" s="45" t="s">
        <v>223</v>
      </c>
      <c r="F12" s="45" t="s">
        <v>223</v>
      </c>
      <c r="G12" s="45" t="s">
        <v>223</v>
      </c>
      <c r="H12" s="45" t="s">
        <v>223</v>
      </c>
      <c r="I12" s="45" t="s">
        <v>223</v>
      </c>
      <c r="J12" s="45" t="s">
        <v>223</v>
      </c>
    </row>
    <row r="13" spans="1:10" s="7" customFormat="1" x14ac:dyDescent="0.25">
      <c r="A13" s="9" t="s">
        <v>36</v>
      </c>
      <c r="B13" s="45">
        <v>0.226857</v>
      </c>
      <c r="C13" s="98">
        <v>0.126614</v>
      </c>
      <c r="D13" s="45">
        <v>0.126614</v>
      </c>
      <c r="E13" s="45" t="s">
        <v>223</v>
      </c>
      <c r="F13" s="45" t="s">
        <v>223</v>
      </c>
      <c r="G13" s="45" t="s">
        <v>223</v>
      </c>
      <c r="H13" s="45" t="s">
        <v>223</v>
      </c>
      <c r="I13" s="45" t="s">
        <v>223</v>
      </c>
      <c r="J13" s="45" t="s">
        <v>223</v>
      </c>
    </row>
    <row r="14" spans="1:10" s="7" customFormat="1" x14ac:dyDescent="0.25">
      <c r="A14" s="9" t="s">
        <v>37</v>
      </c>
      <c r="B14" s="102">
        <v>5.3399690020000001</v>
      </c>
      <c r="C14" s="98">
        <v>22.7421527431</v>
      </c>
      <c r="D14" s="102">
        <v>22.7421527431</v>
      </c>
      <c r="E14" s="102" t="s">
        <v>223</v>
      </c>
      <c r="F14" s="102" t="s">
        <v>223</v>
      </c>
      <c r="G14" s="102" t="s">
        <v>223</v>
      </c>
      <c r="H14" s="102" t="s">
        <v>223</v>
      </c>
      <c r="I14" s="102" t="s">
        <v>223</v>
      </c>
      <c r="J14" s="102" t="s">
        <v>223</v>
      </c>
    </row>
    <row r="15" spans="1:10" x14ac:dyDescent="0.25">
      <c r="A15" s="54" t="s">
        <v>39</v>
      </c>
      <c r="B15" s="44">
        <v>4.2759999999999994E-3</v>
      </c>
      <c r="C15" s="98">
        <v>4.2168000000000004E-2</v>
      </c>
      <c r="D15" s="44">
        <v>4.2168000000000004E-2</v>
      </c>
      <c r="E15" s="44" t="s">
        <v>223</v>
      </c>
      <c r="F15" s="44" t="s">
        <v>223</v>
      </c>
      <c r="G15" s="44" t="s">
        <v>223</v>
      </c>
      <c r="H15" s="44" t="s">
        <v>223</v>
      </c>
      <c r="I15" s="44" t="s">
        <v>223</v>
      </c>
      <c r="J15" s="44" t="s">
        <v>223</v>
      </c>
    </row>
    <row r="16" spans="1:10" s="7" customFormat="1" ht="25.8" customHeight="1" x14ac:dyDescent="0.25">
      <c r="A16" s="9" t="s">
        <v>40</v>
      </c>
      <c r="B16" s="102">
        <v>8.4146892816999994</v>
      </c>
      <c r="C16" s="98">
        <v>12.061665014200001</v>
      </c>
      <c r="D16" s="102">
        <v>12.061665014200001</v>
      </c>
      <c r="E16" s="102" t="s">
        <v>223</v>
      </c>
      <c r="F16" s="102" t="s">
        <v>223</v>
      </c>
      <c r="G16" s="102" t="s">
        <v>223</v>
      </c>
      <c r="H16" s="102" t="s">
        <v>223</v>
      </c>
      <c r="I16" s="102" t="s">
        <v>223</v>
      </c>
      <c r="J16" s="102" t="s">
        <v>223</v>
      </c>
    </row>
    <row r="17" spans="1:10" x14ac:dyDescent="0.25">
      <c r="A17" s="54" t="s">
        <v>54</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4"/>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7" t="s">
        <v>166</v>
      </c>
      <c r="B1" s="122"/>
      <c r="C1" s="122"/>
      <c r="D1" s="122"/>
      <c r="E1" s="122"/>
      <c r="F1" s="122"/>
    </row>
    <row r="2" spans="1:6" x14ac:dyDescent="0.25">
      <c r="A2" s="51" t="s">
        <v>167</v>
      </c>
      <c r="B2" s="50" t="s">
        <v>168</v>
      </c>
      <c r="C2" s="50" t="s">
        <v>169</v>
      </c>
      <c r="D2" s="50" t="s">
        <v>170</v>
      </c>
      <c r="E2" s="50" t="s">
        <v>140</v>
      </c>
      <c r="F2" s="50" t="s">
        <v>171</v>
      </c>
    </row>
    <row r="3" spans="1:6" ht="48" customHeight="1" x14ac:dyDescent="0.25">
      <c r="A3" s="53" t="s">
        <v>172</v>
      </c>
      <c r="B3" s="52"/>
      <c r="C3" s="104"/>
      <c r="D3" s="104"/>
      <c r="E3" s="52"/>
      <c r="F3" s="104"/>
    </row>
    <row r="4" spans="1:6" ht="49.5" customHeight="1" x14ac:dyDescent="0.25">
      <c r="A4" s="53"/>
      <c r="B4" s="52"/>
      <c r="C4" s="104"/>
      <c r="D4" s="104"/>
      <c r="E4" s="52"/>
      <c r="F4" s="104"/>
    </row>
    <row r="5" spans="1:6" x14ac:dyDescent="0.25">
      <c r="A5" s="53"/>
      <c r="B5" s="52"/>
      <c r="C5" s="104"/>
      <c r="D5" s="104"/>
      <c r="E5" s="52"/>
      <c r="F5" s="104"/>
    </row>
    <row r="6" spans="1:6" x14ac:dyDescent="0.25">
      <c r="A6" s="53"/>
      <c r="B6" s="52"/>
      <c r="C6" s="104"/>
      <c r="D6" s="104"/>
      <c r="E6" s="52"/>
      <c r="F6" s="104"/>
    </row>
    <row r="7" spans="1:6" x14ac:dyDescent="0.25">
      <c r="A7" s="53"/>
      <c r="B7" s="52"/>
      <c r="C7" s="104"/>
      <c r="D7" s="104"/>
      <c r="E7" s="52"/>
      <c r="F7" s="104"/>
    </row>
    <row r="8" spans="1:6" x14ac:dyDescent="0.25">
      <c r="A8" s="53"/>
      <c r="B8" s="52"/>
      <c r="C8" s="104"/>
      <c r="D8" s="104"/>
      <c r="E8" s="52"/>
      <c r="F8" s="104"/>
    </row>
    <row r="9" spans="1:6" x14ac:dyDescent="0.25">
      <c r="A9" s="53"/>
      <c r="B9" s="52"/>
      <c r="C9" s="104"/>
      <c r="D9" s="104"/>
      <c r="E9" s="52"/>
      <c r="F9" s="104"/>
    </row>
    <row r="10" spans="1:6" x14ac:dyDescent="0.25">
      <c r="A10" s="53"/>
      <c r="B10" s="52"/>
      <c r="C10" s="104"/>
      <c r="D10" s="104"/>
      <c r="E10" s="52"/>
      <c r="F10" s="104"/>
    </row>
    <row r="11" spans="1:6" x14ac:dyDescent="0.25">
      <c r="A11" s="53"/>
      <c r="B11" s="52"/>
      <c r="C11" s="104"/>
      <c r="D11" s="104"/>
      <c r="E11" s="52"/>
      <c r="F11" s="104"/>
    </row>
    <row r="15" spans="1:6" ht="27" customHeight="1" x14ac:dyDescent="0.25"/>
    <row r="16" spans="1:6" ht="27" customHeight="1" x14ac:dyDescent="0.25"/>
    <row r="18" spans="1:6" x14ac:dyDescent="0.25">
      <c r="A18" s="141" t="s">
        <v>173</v>
      </c>
      <c r="B18" s="141"/>
      <c r="C18" s="141"/>
      <c r="D18" s="141"/>
      <c r="E18" s="141"/>
      <c r="F18" s="141"/>
    </row>
    <row r="19" spans="1:6" x14ac:dyDescent="0.25">
      <c r="A19" s="84" t="s">
        <v>167</v>
      </c>
      <c r="B19" s="84" t="s">
        <v>168</v>
      </c>
      <c r="C19" s="84" t="s">
        <v>174</v>
      </c>
      <c r="D19" s="84" t="s">
        <v>175</v>
      </c>
      <c r="E19" s="84" t="s">
        <v>140</v>
      </c>
      <c r="F19" s="84" t="s">
        <v>171</v>
      </c>
    </row>
    <row r="20" spans="1:6" x14ac:dyDescent="0.25">
      <c r="A20" s="105">
        <v>43514</v>
      </c>
      <c r="B20" s="58" t="s">
        <v>176</v>
      </c>
      <c r="C20" s="106" t="s">
        <v>177</v>
      </c>
      <c r="D20" s="106"/>
      <c r="E20" s="58" t="s">
        <v>178</v>
      </c>
      <c r="F20" s="106"/>
    </row>
    <row r="21" spans="1:6" x14ac:dyDescent="0.25">
      <c r="A21" s="105">
        <v>43511</v>
      </c>
      <c r="B21" s="58" t="s">
        <v>179</v>
      </c>
      <c r="C21" s="106" t="s">
        <v>180</v>
      </c>
      <c r="D21" s="106"/>
      <c r="E21" s="58" t="s">
        <v>143</v>
      </c>
      <c r="F21" s="106" t="s">
        <v>181</v>
      </c>
    </row>
    <row r="22" spans="1:6" x14ac:dyDescent="0.25">
      <c r="A22" s="105">
        <v>43495</v>
      </c>
      <c r="B22" s="58" t="s">
        <v>182</v>
      </c>
      <c r="C22" s="106"/>
      <c r="D22" s="106" t="s">
        <v>183</v>
      </c>
      <c r="E22" s="58" t="s">
        <v>184</v>
      </c>
      <c r="F22" s="106" t="s">
        <v>185</v>
      </c>
    </row>
    <row r="23" spans="1:6" x14ac:dyDescent="0.25">
      <c r="A23" s="105">
        <v>43472</v>
      </c>
      <c r="B23" s="58" t="s">
        <v>186</v>
      </c>
      <c r="C23" s="106" t="s">
        <v>187</v>
      </c>
      <c r="D23" s="106"/>
      <c r="E23" s="58" t="s">
        <v>184</v>
      </c>
      <c r="F23" s="106"/>
    </row>
    <row r="24" spans="1:6" x14ac:dyDescent="0.25">
      <c r="A24" s="105">
        <v>43427</v>
      </c>
      <c r="B24" s="58" t="s">
        <v>188</v>
      </c>
      <c r="C24" s="106" t="s">
        <v>189</v>
      </c>
      <c r="D24" s="106"/>
      <c r="E24" s="58" t="s">
        <v>190</v>
      </c>
      <c r="F24" s="106" t="s">
        <v>191</v>
      </c>
    </row>
  </sheetData>
  <mergeCells count="2">
    <mergeCell ref="A1:F1"/>
    <mergeCell ref="A18:F18"/>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7" customWidth="1"/>
    <col min="17" max="17" width="12" style="56" customWidth="1"/>
    <col min="18" max="18" width="10.44140625" style="56" customWidth="1"/>
  </cols>
  <sheetData>
    <row r="1" spans="1:18" x14ac:dyDescent="0.25">
      <c r="A1" s="148" t="s">
        <v>192</v>
      </c>
      <c r="B1" s="122"/>
      <c r="C1" s="122"/>
      <c r="D1" s="122"/>
      <c r="E1" s="122"/>
      <c r="F1" s="122"/>
      <c r="G1" s="122"/>
      <c r="H1" s="122"/>
      <c r="I1" s="122"/>
      <c r="J1" s="122"/>
      <c r="K1" s="122"/>
      <c r="L1" s="122"/>
      <c r="M1" s="122"/>
      <c r="N1" s="122"/>
    </row>
    <row r="2" spans="1:18" s="1" customFormat="1" ht="25.5" customHeight="1" x14ac:dyDescent="0.25">
      <c r="A2" s="55" t="s">
        <v>193</v>
      </c>
      <c r="B2" s="55" t="s">
        <v>194</v>
      </c>
      <c r="C2" s="55" t="s">
        <v>195</v>
      </c>
      <c r="D2" s="55" t="s">
        <v>196</v>
      </c>
      <c r="E2" s="55" t="s">
        <v>197</v>
      </c>
      <c r="F2" s="55" t="s">
        <v>198</v>
      </c>
      <c r="G2" s="55" t="s">
        <v>199</v>
      </c>
      <c r="H2" s="55" t="s">
        <v>16</v>
      </c>
      <c r="I2" s="55" t="s">
        <v>200</v>
      </c>
      <c r="J2" s="55" t="s">
        <v>201</v>
      </c>
      <c r="K2" s="55" t="s">
        <v>202</v>
      </c>
      <c r="L2" s="55" t="s">
        <v>203</v>
      </c>
      <c r="M2" s="55" t="s">
        <v>19</v>
      </c>
      <c r="N2" s="55" t="s">
        <v>204</v>
      </c>
      <c r="O2" s="3"/>
      <c r="P2" s="108" t="str">
        <f ca="1">Q2</f>
        <v>2019-04-16</v>
      </c>
      <c r="Q2" s="1" t="str">
        <f ca="1">[1]!td(R2-1)</f>
        <v>2019-04-16</v>
      </c>
      <c r="R2" s="3">
        <f ca="1">TODAY()</f>
        <v>43572</v>
      </c>
    </row>
    <row r="3" spans="1:18" ht="15.75" customHeight="1" x14ac:dyDescent="0.25">
      <c r="A3" s="109" t="str">
        <f>[1]!b_info_name(L3)</f>
        <v>19中环电子MTN001</v>
      </c>
      <c r="B3" s="2" t="str">
        <f>[1]!b_issue_firstissue(L3)</f>
        <v>2019-04-18</v>
      </c>
      <c r="C3" s="109">
        <f>[1]!b_info_term(L3)</f>
        <v>3</v>
      </c>
      <c r="D3" s="110" t="str">
        <f>[1]!issuerrating(L3)</f>
        <v>AA+</v>
      </c>
      <c r="E3" s="110" t="str">
        <f>[1]!b_info_creditrating(L3)</f>
        <v>AA+</v>
      </c>
      <c r="F3" s="109" t="str">
        <f>[1]!b_rate_creditratingagency(L3)</f>
        <v>上海新世纪资信评估投资服务有限公司</v>
      </c>
      <c r="G3" s="111">
        <f>[1]!b_agency_guarantor(L3)</f>
        <v>0</v>
      </c>
      <c r="H3" s="112" t="s">
        <v>205</v>
      </c>
      <c r="I3" s="66"/>
      <c r="J3" s="113" t="s">
        <v>205</v>
      </c>
      <c r="K3" s="114"/>
      <c r="L3" s="41" t="str">
        <f>公式页!A2</f>
        <v>q19041611.IB</v>
      </c>
      <c r="M3" s="112" t="s">
        <v>205</v>
      </c>
      <c r="N3" s="109" t="str">
        <f>[1]!b_agency_leadunderwriter(L3)</f>
        <v>中国银行股份有限公司,中国光大银行股份有限公司</v>
      </c>
      <c r="P3" s="107" t="str">
        <f t="shared" ref="P3:P29" ca="1" si="0">$P$2</f>
        <v>2019-04-16</v>
      </c>
    </row>
    <row r="4" spans="1:18" ht="15.75" customHeight="1" x14ac:dyDescent="0.25">
      <c r="A4" s="109" t="str">
        <f>[1]!b_info_name(L4)</f>
        <v>14渤化永利MTN001</v>
      </c>
      <c r="B4" s="2" t="str">
        <f>[1]!b_issue_firstissue(L4)</f>
        <v>2014-08-14</v>
      </c>
      <c r="C4" s="109">
        <f>[1]!b_info_term(L4)</f>
        <v>5</v>
      </c>
      <c r="D4" s="110" t="str">
        <f>[1]!issuerrating(L4)</f>
        <v>AA-</v>
      </c>
      <c r="E4" s="110" t="str">
        <f>[1]!b_info_creditrating(L4)</f>
        <v>AA+</v>
      </c>
      <c r="F4" s="109" t="str">
        <f>[1]!b_rate_creditratingagency(L4)</f>
        <v>大公国际资信评估有限公司</v>
      </c>
      <c r="G4" s="111" t="str">
        <f>[1]!b_agency_guarantor(L4)</f>
        <v>天津渤海化工集团有限责任公司</v>
      </c>
      <c r="H4" s="112">
        <f>[1]!b_info_couponrate(L4)</f>
        <v>6.4</v>
      </c>
      <c r="I4" s="66"/>
      <c r="J4" s="113">
        <f ca="1">[1]!b_anal_yield_cnbd(L4,P2,1)</f>
        <v>3.7423999999999999</v>
      </c>
      <c r="K4" s="114">
        <f>K3</f>
        <v>0</v>
      </c>
      <c r="L4" s="4" t="s">
        <v>206</v>
      </c>
      <c r="M4" s="112">
        <f>[1]!b_info_issueamount(L4)/100000000</f>
        <v>5</v>
      </c>
      <c r="N4" s="109" t="str">
        <f>[1]!b_agency_leadunderwriter(L4)</f>
        <v>上海浦东发展银行股份有限公司,中国国际金融股份有限公司</v>
      </c>
      <c r="P4" s="107" t="str">
        <f t="shared" ca="1" si="0"/>
        <v>2019-04-16</v>
      </c>
    </row>
    <row r="5" spans="1:18" ht="15.75" customHeight="1" x14ac:dyDescent="0.25">
      <c r="A5" s="109">
        <f>[1]!b_info_name(L5)</f>
        <v>0</v>
      </c>
      <c r="B5" s="2">
        <f>[1]!b_issue_firstissue(L5)</f>
        <v>0</v>
      </c>
      <c r="C5" s="109">
        <f>[1]!b_info_term(L5)</f>
        <v>0</v>
      </c>
      <c r="D5" s="110">
        <f>[1]!issuerrating(L5)</f>
        <v>0</v>
      </c>
      <c r="E5" s="110">
        <f>[1]!b_info_creditrating(L5)</f>
        <v>0</v>
      </c>
      <c r="F5" s="109">
        <f>[1]!b_rate_creditratingagency(L5)</f>
        <v>0</v>
      </c>
      <c r="G5" s="111">
        <f>[1]!b_agency_guarantor(L5)</f>
        <v>0</v>
      </c>
      <c r="H5" s="112">
        <f>[1]!b_info_couponrate(L5)</f>
        <v>0</v>
      </c>
      <c r="I5" s="66"/>
      <c r="J5" s="113">
        <f ca="1">[1]!b_anal_yield_cnbd(L5,P3,1)</f>
        <v>0</v>
      </c>
      <c r="K5" s="114">
        <f>K3</f>
        <v>0</v>
      </c>
      <c r="L5" s="5"/>
      <c r="M5" s="112">
        <f>[1]!b_info_issueamount(L5)/100000000</f>
        <v>0</v>
      </c>
      <c r="N5" s="109">
        <f>[1]!b_agency_leadunderwriter(L5)</f>
        <v>0</v>
      </c>
      <c r="P5" s="107" t="str">
        <f t="shared" ca="1" si="0"/>
        <v>2019-04-16</v>
      </c>
    </row>
    <row r="6" spans="1:18" ht="15.75" customHeight="1" x14ac:dyDescent="0.25">
      <c r="A6" s="109">
        <f>[1]!b_info_name(L6)</f>
        <v>0</v>
      </c>
      <c r="B6" s="2">
        <f>[1]!b_issue_firstissue(L6)</f>
        <v>0</v>
      </c>
      <c r="C6" s="109">
        <f>[1]!b_info_term(L6)</f>
        <v>0</v>
      </c>
      <c r="D6" s="110">
        <f>[1]!issuerrating(L6)</f>
        <v>0</v>
      </c>
      <c r="E6" s="110">
        <f>[1]!b_info_creditrating(L6)</f>
        <v>0</v>
      </c>
      <c r="F6" s="109">
        <f>[1]!b_rate_creditratingagency(L6)</f>
        <v>0</v>
      </c>
      <c r="G6" s="111">
        <f>[1]!b_agency_guarantor(L6)</f>
        <v>0</v>
      </c>
      <c r="H6" s="112">
        <f>[1]!b_info_couponrate(L6)</f>
        <v>0</v>
      </c>
      <c r="I6" s="66"/>
      <c r="J6" s="113">
        <f ca="1">[1]!b_anal_yield_cnbd(L6,P4,1)</f>
        <v>0</v>
      </c>
      <c r="K6" s="114">
        <f>K3</f>
        <v>0</v>
      </c>
      <c r="L6" s="5"/>
      <c r="M6" s="112">
        <f>[1]!b_info_issueamount(L6)/100000000</f>
        <v>0</v>
      </c>
      <c r="N6" s="109">
        <f>[1]!b_agency_leadunderwriter(L6)</f>
        <v>0</v>
      </c>
      <c r="P6" s="107" t="str">
        <f t="shared" ca="1" si="0"/>
        <v>2019-04-16</v>
      </c>
    </row>
    <row r="7" spans="1:18" ht="15.75" customHeight="1" x14ac:dyDescent="0.25">
      <c r="A7" s="109">
        <f>[1]!b_info_name(L7)</f>
        <v>0</v>
      </c>
      <c r="B7" s="2">
        <f>[1]!b_issue_firstissue(L7)</f>
        <v>0</v>
      </c>
      <c r="C7" s="109">
        <f>[1]!b_info_term(L7)</f>
        <v>0</v>
      </c>
      <c r="D7" s="110">
        <f>[1]!issuerrating(L7)</f>
        <v>0</v>
      </c>
      <c r="E7" s="110">
        <f>[1]!b_info_creditrating(L7)</f>
        <v>0</v>
      </c>
      <c r="F7" s="109">
        <f>[1]!b_rate_creditratingagency(L7)</f>
        <v>0</v>
      </c>
      <c r="G7" s="111">
        <f>[1]!b_agency_guarantor(L7)</f>
        <v>0</v>
      </c>
      <c r="H7" s="112">
        <f>[1]!b_info_couponrate(L7)</f>
        <v>0</v>
      </c>
      <c r="I7" s="66"/>
      <c r="J7" s="113">
        <f ca="1">[1]!b_anal_yield_cnbd(L7,P5,1)</f>
        <v>0</v>
      </c>
      <c r="K7" s="114">
        <f>K3</f>
        <v>0</v>
      </c>
      <c r="L7" s="5"/>
      <c r="M7" s="112">
        <f>[1]!b_info_issueamount(L7)/100000000</f>
        <v>0</v>
      </c>
      <c r="N7" s="109">
        <f>[1]!b_agency_leadunderwriter(L7)</f>
        <v>0</v>
      </c>
      <c r="P7" s="107" t="str">
        <f t="shared" ca="1" si="0"/>
        <v>2019-04-16</v>
      </c>
    </row>
    <row r="8" spans="1:18" ht="15.75" customHeight="1" x14ac:dyDescent="0.25">
      <c r="A8" s="109">
        <f>[1]!b_info_name(L8)</f>
        <v>0</v>
      </c>
      <c r="B8" s="2">
        <f>[1]!b_issue_firstissue(L8)</f>
        <v>0</v>
      </c>
      <c r="C8" s="109">
        <f>[1]!b_info_term(L8)</f>
        <v>0</v>
      </c>
      <c r="D8" s="110">
        <f>[1]!issuerrating(L8)</f>
        <v>0</v>
      </c>
      <c r="E8" s="110">
        <f>[1]!b_info_creditrating(L8)</f>
        <v>0</v>
      </c>
      <c r="F8" s="109">
        <f>[1]!b_rate_creditratingagency(L8)</f>
        <v>0</v>
      </c>
      <c r="G8" s="111">
        <f>[1]!b_agency_guarantor(L8)</f>
        <v>0</v>
      </c>
      <c r="H8" s="112">
        <f>[1]!b_info_couponrate(L8)</f>
        <v>0</v>
      </c>
      <c r="I8" s="66"/>
      <c r="J8" s="113">
        <f ca="1">[1]!b_anal_yield_cnbd(L8,P6,1)</f>
        <v>0</v>
      </c>
      <c r="K8" s="114">
        <f>K3</f>
        <v>0</v>
      </c>
      <c r="L8" s="5"/>
      <c r="M8" s="112">
        <f>[1]!b_info_issueamount(L8)/100000000</f>
        <v>0</v>
      </c>
      <c r="N8" s="109">
        <f>[1]!b_agency_leadunderwriter(L8)</f>
        <v>0</v>
      </c>
      <c r="P8" s="107" t="str">
        <f t="shared" ca="1" si="0"/>
        <v>2019-04-16</v>
      </c>
    </row>
    <row r="9" spans="1:18" ht="15.75" customHeight="1" x14ac:dyDescent="0.25">
      <c r="A9" s="109">
        <f>[1]!b_info_name(L9)</f>
        <v>0</v>
      </c>
      <c r="B9" s="2">
        <f>[1]!b_issue_firstissue(L9)</f>
        <v>0</v>
      </c>
      <c r="C9" s="109">
        <f>[1]!b_info_term(L9)</f>
        <v>0</v>
      </c>
      <c r="D9" s="110">
        <f>[1]!issuerrating(L9)</f>
        <v>0</v>
      </c>
      <c r="E9" s="110">
        <f>[1]!b_info_creditrating(L9)</f>
        <v>0</v>
      </c>
      <c r="F9" s="109">
        <f>[1]!b_rate_creditratingagency(L9)</f>
        <v>0</v>
      </c>
      <c r="G9" s="111">
        <f>[1]!b_agency_guarantor(L9)</f>
        <v>0</v>
      </c>
      <c r="H9" s="112">
        <f>[1]!b_info_couponrate(L9)</f>
        <v>0</v>
      </c>
      <c r="I9" s="66"/>
      <c r="J9" s="113">
        <f ca="1">[1]!b_anal_yield_cnbd(L9,P7,1)</f>
        <v>0</v>
      </c>
      <c r="K9" s="114">
        <f>K3</f>
        <v>0</v>
      </c>
      <c r="L9" s="5"/>
      <c r="M9" s="112">
        <f>[1]!b_info_issueamount(L9)/100000000</f>
        <v>0</v>
      </c>
      <c r="N9" s="109">
        <f>[1]!b_agency_leadunderwriter(L9)</f>
        <v>0</v>
      </c>
      <c r="P9" s="107" t="str">
        <f t="shared" ca="1" si="0"/>
        <v>2019-04-16</v>
      </c>
    </row>
    <row r="10" spans="1:18" x14ac:dyDescent="0.25">
      <c r="P10" s="107" t="str">
        <f t="shared" ca="1" si="0"/>
        <v>2019-04-16</v>
      </c>
    </row>
    <row r="11" spans="1:18" x14ac:dyDescent="0.25">
      <c r="P11" s="107" t="str">
        <f t="shared" ca="1" si="0"/>
        <v>2019-04-16</v>
      </c>
    </row>
    <row r="12" spans="1:18" x14ac:dyDescent="0.25">
      <c r="A12" s="148" t="s">
        <v>207</v>
      </c>
      <c r="B12" s="122"/>
      <c r="C12" s="122"/>
      <c r="D12" s="122"/>
      <c r="E12" s="122"/>
      <c r="F12" s="122"/>
      <c r="G12" s="122"/>
      <c r="H12" s="122"/>
      <c r="I12" s="122"/>
      <c r="J12" s="122"/>
      <c r="K12" s="122"/>
      <c r="L12" s="122"/>
      <c r="M12" s="122"/>
      <c r="N12" s="122"/>
      <c r="P12" s="107" t="str">
        <f t="shared" ca="1" si="0"/>
        <v>2019-04-16</v>
      </c>
    </row>
    <row r="13" spans="1:18" s="1" customFormat="1" ht="43.2" customHeight="1" x14ac:dyDescent="0.25">
      <c r="A13" s="55" t="s">
        <v>193</v>
      </c>
      <c r="B13" s="55" t="s">
        <v>194</v>
      </c>
      <c r="C13" s="55" t="s">
        <v>195</v>
      </c>
      <c r="D13" s="55" t="s">
        <v>196</v>
      </c>
      <c r="E13" s="55" t="s">
        <v>197</v>
      </c>
      <c r="F13" s="55" t="s">
        <v>198</v>
      </c>
      <c r="G13" s="55" t="s">
        <v>199</v>
      </c>
      <c r="H13" s="55" t="s">
        <v>16</v>
      </c>
      <c r="I13" s="55" t="s">
        <v>200</v>
      </c>
      <c r="J13" s="55" t="s">
        <v>201</v>
      </c>
      <c r="K13" s="55" t="s">
        <v>202</v>
      </c>
      <c r="L13" s="55" t="s">
        <v>203</v>
      </c>
      <c r="M13" s="55" t="s">
        <v>19</v>
      </c>
      <c r="N13" s="55" t="s">
        <v>204</v>
      </c>
      <c r="P13" s="107" t="str">
        <f t="shared" ca="1" si="0"/>
        <v>2019-04-16</v>
      </c>
    </row>
    <row r="14" spans="1:18" ht="15.75" customHeight="1" x14ac:dyDescent="0.25">
      <c r="A14" s="109" t="str">
        <f>[1]!b_info_name(L14)</f>
        <v>19中环电子MTN001</v>
      </c>
      <c r="B14" s="2" t="str">
        <f>[1]!b_issue_firstissue(L14)</f>
        <v>2019-04-18</v>
      </c>
      <c r="C14" s="109">
        <f>[1]!b_info_term(L14)</f>
        <v>3</v>
      </c>
      <c r="D14" s="110" t="str">
        <f>[1]!issuerrating(L14)</f>
        <v>AA+</v>
      </c>
      <c r="E14" s="110" t="str">
        <f>[1]!b_info_creditrating(L14)</f>
        <v>AA+</v>
      </c>
      <c r="F14" s="109" t="str">
        <f>[1]!b_rate_creditratingagency(L14)</f>
        <v>上海新世纪资信评估投资服务有限公司</v>
      </c>
      <c r="G14" s="111">
        <f>[1]!b_agency_guarantor(L14)</f>
        <v>0</v>
      </c>
      <c r="H14" s="112" t="s">
        <v>205</v>
      </c>
      <c r="I14" s="66"/>
      <c r="J14" s="113" t="s">
        <v>205</v>
      </c>
      <c r="K14" s="114">
        <f>K3</f>
        <v>0</v>
      </c>
      <c r="L14" s="42" t="str">
        <f>L3</f>
        <v>q19041611.IB</v>
      </c>
      <c r="M14" s="112" t="s">
        <v>205</v>
      </c>
      <c r="N14" s="109" t="str">
        <f>[1]!b_agency_leadunderwriter(L14)</f>
        <v>中国银行股份有限公司,中国光大银行股份有限公司</v>
      </c>
      <c r="P14" s="107" t="str">
        <f t="shared" ca="1" si="0"/>
        <v>2019-04-16</v>
      </c>
    </row>
    <row r="15" spans="1:18" ht="15.75" customHeight="1" x14ac:dyDescent="0.25">
      <c r="A15" s="109" t="str">
        <f>[1]!b_info_name(L15)</f>
        <v>14康缘CP001</v>
      </c>
      <c r="B15" s="2" t="str">
        <f>[1]!b_issue_firstissue(L15)</f>
        <v>2014-07-10</v>
      </c>
      <c r="C15" s="109">
        <f>[1]!b_info_term(L15)</f>
        <v>1</v>
      </c>
      <c r="D15" s="110" t="str">
        <f>[1]!issuerrating(L15)</f>
        <v>AA-</v>
      </c>
      <c r="E15" s="110" t="str">
        <f>[1]!b_info_creditrating(L15)</f>
        <v>A-1</v>
      </c>
      <c r="F15" s="109" t="str">
        <f>[1]!b_rate_creditratingagency(L15)</f>
        <v>中诚信国际信用评级有限责任公司</v>
      </c>
      <c r="G15" s="111">
        <f>[1]!b_agency_guarantor(L15)</f>
        <v>0</v>
      </c>
      <c r="H15" s="112">
        <f>[1]!b_info_couponrate(L15)</f>
        <v>7.2</v>
      </c>
      <c r="I15" s="66"/>
      <c r="J15" s="113">
        <f ca="1">[1]!b_anal_yield_cnbd(L15,P13,1)</f>
        <v>0</v>
      </c>
      <c r="K15" s="114"/>
      <c r="L15" s="6" t="s">
        <v>208</v>
      </c>
      <c r="M15" s="112">
        <f>[1]!b_info_issueamount(L15)/100000000</f>
        <v>5</v>
      </c>
      <c r="N15" s="109" t="str">
        <f>[1]!b_agency_leadunderwriter(L15)</f>
        <v>招商银行股份有限公司</v>
      </c>
      <c r="O15" t="str">
        <f>[1]!b_issuer_windindustry(L15,4)</f>
        <v>西药</v>
      </c>
      <c r="P15" s="107" t="str">
        <f t="shared" ca="1" si="0"/>
        <v>2019-04-16</v>
      </c>
    </row>
    <row r="16" spans="1:18" ht="15.75" customHeight="1" x14ac:dyDescent="0.25">
      <c r="A16" s="109" t="str">
        <f>[1]!b_info_name(L16)</f>
        <v>14铜陵化工CP001</v>
      </c>
      <c r="B16" s="2" t="str">
        <f>[1]!b_issue_firstissue(L16)</f>
        <v>2014-07-08</v>
      </c>
      <c r="C16" s="109">
        <f>[1]!b_info_term(L16)</f>
        <v>1</v>
      </c>
      <c r="D16" s="110" t="str">
        <f>[1]!issuerrating(L16)</f>
        <v>AA-</v>
      </c>
      <c r="E16" s="110" t="str">
        <f>[1]!b_info_creditrating(L16)</f>
        <v>A-1</v>
      </c>
      <c r="F16" s="109" t="str">
        <f>[1]!b_rate_creditratingagency(L16)</f>
        <v>中诚信国际信用评级有限责任公司</v>
      </c>
      <c r="G16" s="111">
        <f>[1]!b_agency_guarantor(L16)</f>
        <v>0</v>
      </c>
      <c r="H16" s="112">
        <f>[1]!b_info_couponrate(L16)</f>
        <v>6.35</v>
      </c>
      <c r="I16" s="66"/>
      <c r="J16" s="113">
        <f ca="1">[1]!b_anal_yield_cnbd(L16,P14,1)</f>
        <v>0</v>
      </c>
      <c r="K16" s="114"/>
      <c r="L16" s="6" t="s">
        <v>209</v>
      </c>
      <c r="M16" s="112">
        <f>[1]!b_info_issueamount(L16)/100000000</f>
        <v>6</v>
      </c>
      <c r="N16" s="109" t="str">
        <f>[1]!b_agency_leadunderwriter(L16)</f>
        <v>北京银行股份有限公司</v>
      </c>
      <c r="O16" t="str">
        <f>[1]!b_issuer_windindustry(L16,4)</f>
        <v>化肥与农用化工</v>
      </c>
      <c r="P16" s="107" t="str">
        <f t="shared" ca="1" si="0"/>
        <v>2019-04-16</v>
      </c>
    </row>
    <row r="17" spans="1:16" ht="15.75" customHeight="1" x14ac:dyDescent="0.25">
      <c r="A17" s="109" t="str">
        <f>[1]!b_info_name(L17)</f>
        <v>14龙力CP001</v>
      </c>
      <c r="B17" s="2" t="str">
        <f>[1]!b_issue_firstissue(L17)</f>
        <v>2014-06-26</v>
      </c>
      <c r="C17" s="109">
        <f>[1]!b_info_term(L17)</f>
        <v>1</v>
      </c>
      <c r="D17" s="110" t="str">
        <f>[1]!issuerrating(L17)</f>
        <v>AA-</v>
      </c>
      <c r="E17" s="110" t="str">
        <f>[1]!b_info_creditrating(L17)</f>
        <v>A-1</v>
      </c>
      <c r="F17" s="109" t="str">
        <f>[1]!b_rate_creditratingagency(L17)</f>
        <v>上海新世纪资信评估投资服务有限公司</v>
      </c>
      <c r="G17" s="111">
        <f>[1]!b_agency_guarantor(L17)</f>
        <v>0</v>
      </c>
      <c r="H17" s="112">
        <f>[1]!b_info_couponrate(L17)</f>
        <v>6.5</v>
      </c>
      <c r="I17" s="66"/>
      <c r="J17" s="113">
        <f ca="1">[1]!b_anal_yield_cnbd(L17,P15,1)</f>
        <v>0</v>
      </c>
      <c r="K17" s="114"/>
      <c r="L17" s="6" t="s">
        <v>210</v>
      </c>
      <c r="M17" s="112">
        <f>[1]!b_info_issueamount(L17)/100000000</f>
        <v>3.5</v>
      </c>
      <c r="N17" s="109" t="str">
        <f>[1]!b_agency_leadunderwriter(L17)</f>
        <v>华夏银行股份有限公司</v>
      </c>
      <c r="O17" t="str">
        <f>[1]!b_issuer_windindustry(L17,4)</f>
        <v>食品加工与肉类</v>
      </c>
      <c r="P17" s="107" t="str">
        <f t="shared" ca="1" si="0"/>
        <v>2019-04-16</v>
      </c>
    </row>
    <row r="18" spans="1:16" ht="15.75" customHeight="1" x14ac:dyDescent="0.25">
      <c r="A18" s="109" t="str">
        <f>[1]!b_info_name(L18)</f>
        <v>14新城建CP001</v>
      </c>
      <c r="B18" s="2" t="str">
        <f>[1]!b_issue_firstissue(L18)</f>
        <v>2014-06-25</v>
      </c>
      <c r="C18" s="109">
        <f>[1]!b_info_term(L18)</f>
        <v>1</v>
      </c>
      <c r="D18" s="110" t="str">
        <f>[1]!issuerrating(L18)</f>
        <v>AA-</v>
      </c>
      <c r="E18" s="110" t="str">
        <f>[1]!b_info_creditrating(L18)</f>
        <v>A-1</v>
      </c>
      <c r="F18" s="109" t="str">
        <f>[1]!b_rate_creditratingagency(L18)</f>
        <v>上海新世纪资信评估投资服务有限公司</v>
      </c>
      <c r="G18" s="111">
        <f>[1]!b_agency_guarantor(L18)</f>
        <v>0</v>
      </c>
      <c r="H18" s="112">
        <f>[1]!b_info_couponrate(L18)</f>
        <v>6.4</v>
      </c>
      <c r="I18" s="66"/>
      <c r="J18" s="113">
        <f ca="1">[1]!b_anal_yield_cnbd(L18,P16,1)</f>
        <v>0</v>
      </c>
      <c r="K18" s="114"/>
      <c r="L18" s="6" t="s">
        <v>211</v>
      </c>
      <c r="M18" s="112">
        <f>[1]!b_info_issueamount(L18)/100000000</f>
        <v>3</v>
      </c>
      <c r="N18" s="109" t="str">
        <f>[1]!b_agency_leadunderwriter(L18)</f>
        <v>兴业银行股份有限公司</v>
      </c>
      <c r="O18" t="str">
        <f>[1]!b_issuer_windindustry(L18,4)</f>
        <v>工业机械</v>
      </c>
      <c r="P18" s="107" t="str">
        <f t="shared" ca="1" si="0"/>
        <v>2019-04-16</v>
      </c>
    </row>
    <row r="19" spans="1:16" ht="15.75" customHeight="1" x14ac:dyDescent="0.25">
      <c r="A19" s="109" t="str">
        <f>[1]!b_info_name(L19)</f>
        <v>14长电科技CP001</v>
      </c>
      <c r="B19" s="2" t="str">
        <f>[1]!b_issue_firstissue(L19)</f>
        <v>2014-06-19</v>
      </c>
      <c r="C19" s="109">
        <f>[1]!b_info_term(L19)</f>
        <v>1</v>
      </c>
      <c r="D19" s="110" t="str">
        <f>[1]!issuerrating(L19)</f>
        <v>AA-</v>
      </c>
      <c r="E19" s="110" t="str">
        <f>[1]!b_info_creditrating(L19)</f>
        <v>A-1</v>
      </c>
      <c r="F19" s="109" t="str">
        <f>[1]!b_rate_creditratingagency(L19)</f>
        <v>联合资信评估有限公司</v>
      </c>
      <c r="G19" s="111">
        <f>[1]!b_agency_guarantor(L19)</f>
        <v>0</v>
      </c>
      <c r="H19" s="112">
        <f>[1]!b_info_couponrate(L19)</f>
        <v>6.5</v>
      </c>
      <c r="I19" s="66"/>
      <c r="J19" s="113">
        <f ca="1">[1]!b_anal_yield_cnbd(L19,P17,1)</f>
        <v>0</v>
      </c>
      <c r="K19" s="114"/>
      <c r="L19" s="6" t="s">
        <v>212</v>
      </c>
      <c r="M19" s="112">
        <f>[1]!b_info_issueamount(L19)/100000000</f>
        <v>3</v>
      </c>
      <c r="N19" s="109" t="str">
        <f>[1]!b_agency_leadunderwriter(L19)</f>
        <v>中国银行股份有限公司</v>
      </c>
      <c r="O19" t="str">
        <f>[1]!b_issuer_windindustry(L19,4)</f>
        <v>半导体产品</v>
      </c>
      <c r="P19" s="107" t="str">
        <f t="shared" ca="1" si="0"/>
        <v>2019-04-16</v>
      </c>
    </row>
    <row r="20" spans="1:16" ht="15.75" customHeight="1" x14ac:dyDescent="0.25">
      <c r="A20" s="109" t="str">
        <f>[1]!b_info_name(L20)</f>
        <v>14东阳光CP002</v>
      </c>
      <c r="B20" s="2" t="str">
        <f>[1]!b_issue_firstissue(L20)</f>
        <v>2014-06-13</v>
      </c>
      <c r="C20" s="109">
        <f>[1]!b_info_term(L20)</f>
        <v>1</v>
      </c>
      <c r="D20" s="110" t="str">
        <f>[1]!issuerrating(L20)</f>
        <v>AA-</v>
      </c>
      <c r="E20" s="110" t="str">
        <f>[1]!b_info_creditrating(L20)</f>
        <v>A-1</v>
      </c>
      <c r="F20" s="109" t="str">
        <f>[1]!b_rate_creditratingagency(L20)</f>
        <v>联合资信评估有限公司</v>
      </c>
      <c r="G20" s="111">
        <f>[1]!b_agency_guarantor(L20)</f>
        <v>0</v>
      </c>
      <c r="H20" s="112">
        <f>[1]!b_info_couponrate(L20)</f>
        <v>6.95</v>
      </c>
      <c r="I20" s="66"/>
      <c r="J20" s="113">
        <f ca="1">[1]!b_anal_yield_cnbd(L20,P18,1)</f>
        <v>0</v>
      </c>
      <c r="K20" s="114"/>
      <c r="L20" s="6" t="s">
        <v>213</v>
      </c>
      <c r="M20" s="112">
        <f>[1]!b_info_issueamount(L20)/100000000</f>
        <v>5</v>
      </c>
      <c r="N20" s="109" t="str">
        <f>[1]!b_agency_leadunderwriter(L20)</f>
        <v>中国银行股份有限公司</v>
      </c>
      <c r="O20" t="str">
        <f>[1]!b_issuer_windindustry(L20,4)</f>
        <v>医疗保健用品</v>
      </c>
      <c r="P20" s="107" t="str">
        <f t="shared" ca="1" si="0"/>
        <v>2019-04-16</v>
      </c>
    </row>
    <row r="21" spans="1:16" ht="15.75" customHeight="1" x14ac:dyDescent="0.25">
      <c r="A21" s="109" t="str">
        <f>[1]!b_info_name(L21)</f>
        <v>14中澳控CP001</v>
      </c>
      <c r="B21" s="2" t="str">
        <f>[1]!b_issue_firstissue(L21)</f>
        <v>2014-06-10</v>
      </c>
      <c r="C21" s="109">
        <f>[1]!b_info_term(L21)</f>
        <v>1</v>
      </c>
      <c r="D21" s="110" t="str">
        <f>[1]!issuerrating(L21)</f>
        <v>AA-</v>
      </c>
      <c r="E21" s="110" t="str">
        <f>[1]!b_info_creditrating(L21)</f>
        <v>A-1</v>
      </c>
      <c r="F21" s="109" t="str">
        <f>[1]!b_rate_creditratingagency(L21)</f>
        <v>中诚信国际信用评级有限责任公司</v>
      </c>
      <c r="G21" s="111">
        <f>[1]!b_agency_guarantor(L21)</f>
        <v>0</v>
      </c>
      <c r="H21" s="112">
        <f>[1]!b_info_couponrate(L21)</f>
        <v>7.39</v>
      </c>
      <c r="I21" s="66"/>
      <c r="J21" s="113">
        <f ca="1">[1]!b_anal_yield_cnbd(L21,P19,1)</f>
        <v>0</v>
      </c>
      <c r="K21" s="114"/>
      <c r="L21" s="6" t="s">
        <v>214</v>
      </c>
      <c r="M21" s="112">
        <f>[1]!b_info_issueamount(L21)/100000000</f>
        <v>2</v>
      </c>
      <c r="N21" s="109" t="str">
        <f>[1]!b_agency_leadunderwriter(L21)</f>
        <v>中国银行股份有限公司</v>
      </c>
      <c r="O21" t="str">
        <f>[1]!b_issuer_windindustry(L21,4)</f>
        <v>食品加工与肉类</v>
      </c>
      <c r="P21" s="107" t="str">
        <f t="shared" ca="1" si="0"/>
        <v>2019-04-16</v>
      </c>
    </row>
    <row r="22" spans="1:16" ht="15.75" customHeight="1" x14ac:dyDescent="0.25">
      <c r="A22" s="109" t="str">
        <f>[1]!b_info_name(L22)</f>
        <v>14杭州宋城CP001</v>
      </c>
      <c r="B22" s="2" t="str">
        <f>[1]!b_issue_firstissue(L22)</f>
        <v>2014-06-03</v>
      </c>
      <c r="C22" s="109">
        <f>[1]!b_info_term(L22)</f>
        <v>1</v>
      </c>
      <c r="D22" s="110" t="str">
        <f>[1]!issuerrating(L22)</f>
        <v>AA-</v>
      </c>
      <c r="E22" s="110" t="str">
        <f>[1]!b_info_creditrating(L22)</f>
        <v>A-1</v>
      </c>
      <c r="F22" s="109" t="str">
        <f>[1]!b_rate_creditratingagency(L22)</f>
        <v>中诚信国际信用评级有限责任公司</v>
      </c>
      <c r="G22" s="111">
        <f>[1]!b_agency_guarantor(L22)</f>
        <v>0</v>
      </c>
      <c r="H22" s="112">
        <f>[1]!b_info_couponrate(L22)</f>
        <v>7.5</v>
      </c>
      <c r="I22" s="66"/>
      <c r="J22" s="113">
        <f ca="1">[1]!b_anal_yield_cnbd(L22,P20,1)</f>
        <v>0</v>
      </c>
      <c r="K22" s="114"/>
      <c r="L22" s="6" t="s">
        <v>215</v>
      </c>
      <c r="M22" s="112">
        <f>[1]!b_info_issueamount(L22)/100000000</f>
        <v>4</v>
      </c>
      <c r="N22" s="109" t="str">
        <f>[1]!b_agency_leadunderwriter(L22)</f>
        <v>中国工商银行股份有限公司</v>
      </c>
      <c r="O22" t="str">
        <f>[1]!b_issuer_windindustry(L22,4)</f>
        <v>酒店、度假村与豪华游轮</v>
      </c>
      <c r="P22" s="107" t="str">
        <f t="shared" ca="1" si="0"/>
        <v>2019-04-16</v>
      </c>
    </row>
    <row r="23" spans="1:16" ht="15.75" customHeight="1" x14ac:dyDescent="0.25">
      <c r="A23" s="109" t="str">
        <f>[1]!b_info_name(L23)</f>
        <v>14晟晏CP001</v>
      </c>
      <c r="B23" s="2" t="str">
        <f>[1]!b_issue_firstissue(L23)</f>
        <v>2014-05-22</v>
      </c>
      <c r="C23" s="109">
        <f>[1]!b_info_term(L23)</f>
        <v>1</v>
      </c>
      <c r="D23" s="110" t="str">
        <f>[1]!issuerrating(L23)</f>
        <v>AA-</v>
      </c>
      <c r="E23" s="110" t="str">
        <f>[1]!b_info_creditrating(L23)</f>
        <v>A-1</v>
      </c>
      <c r="F23" s="109" t="str">
        <f>[1]!b_rate_creditratingagency(L23)</f>
        <v>大公国际资信评估有限公司</v>
      </c>
      <c r="G23" s="111">
        <f>[1]!b_agency_guarantor(L23)</f>
        <v>0</v>
      </c>
      <c r="H23" s="112">
        <f>[1]!b_info_couponrate(L23)</f>
        <v>7.3</v>
      </c>
      <c r="I23" s="66"/>
      <c r="J23" s="113">
        <f ca="1">[1]!b_anal_yield_cnbd(L23,P21,1)</f>
        <v>0</v>
      </c>
      <c r="K23" s="114"/>
      <c r="L23" s="6" t="s">
        <v>216</v>
      </c>
      <c r="M23" s="112">
        <f>[1]!b_info_issueamount(L23)/100000000</f>
        <v>4</v>
      </c>
      <c r="N23" s="109" t="str">
        <f>[1]!b_agency_leadunderwriter(L23)</f>
        <v>中国银行股份有限公司</v>
      </c>
      <c r="O23" t="str">
        <f>[1]!b_issuer_windindustry(L23,4)</f>
        <v>金属非金属</v>
      </c>
      <c r="P23" s="107" t="str">
        <f t="shared" ca="1" si="0"/>
        <v>2019-04-16</v>
      </c>
    </row>
    <row r="24" spans="1:16" x14ac:dyDescent="0.25">
      <c r="P24" s="107" t="str">
        <f t="shared" ca="1" si="0"/>
        <v>2019-04-16</v>
      </c>
    </row>
    <row r="25" spans="1:16" x14ac:dyDescent="0.25">
      <c r="P25" s="107" t="str">
        <f t="shared" ca="1" si="0"/>
        <v>2019-04-16</v>
      </c>
    </row>
    <row r="26" spans="1:16" x14ac:dyDescent="0.25">
      <c r="P26" s="107" t="str">
        <f t="shared" ca="1" si="0"/>
        <v>2019-04-16</v>
      </c>
    </row>
    <row r="27" spans="1:16" x14ac:dyDescent="0.25">
      <c r="P27" s="107" t="str">
        <f t="shared" ca="1" si="0"/>
        <v>2019-04-16</v>
      </c>
    </row>
    <row r="28" spans="1:16" x14ac:dyDescent="0.25">
      <c r="P28" s="107" t="str">
        <f t="shared" ca="1" si="0"/>
        <v>2019-04-16</v>
      </c>
    </row>
    <row r="29" spans="1:16" x14ac:dyDescent="0.25">
      <c r="P29" s="107" t="str">
        <f t="shared" ca="1" si="0"/>
        <v>2019-04-16</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2019-04-17T10:34:15Z</dcterms:modified>
</cp:coreProperties>
</file>