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F4C69CC8-09C7-46C8-A6E8-876499FEB25E}" xr6:coauthVersionLast="43" xr6:coauthVersionMax="43" xr10:uidLastSave="{00000000-0000-0000-0000-000000000000}"/>
  <bookViews>
    <workbookView xWindow="2688" yWindow="2688"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A23" i="6"/>
  <c r="F22" i="6"/>
  <c r="N21" i="6"/>
  <c r="D21" i="6"/>
  <c r="O20" i="6"/>
  <c r="G20" i="6"/>
  <c r="A20" i="6"/>
  <c r="D19" i="6"/>
  <c r="N18" i="6"/>
  <c r="F18" i="6"/>
  <c r="A18" i="6"/>
  <c r="H17" i="6"/>
  <c r="C17" i="6"/>
  <c r="N16" i="6"/>
  <c r="E16" i="6"/>
  <c r="H15" i="6"/>
  <c r="B15" i="6"/>
  <c r="C14" i="6"/>
  <c r="D9" i="6"/>
  <c r="M8" i="6"/>
  <c r="F8" i="6"/>
  <c r="A8" i="6"/>
  <c r="H7" i="6"/>
  <c r="C7" i="6"/>
  <c r="M6" i="6"/>
  <c r="G6" i="6"/>
  <c r="A6" i="6"/>
  <c r="D5" i="6"/>
  <c r="M4" i="6"/>
  <c r="F4" i="6"/>
  <c r="A4" i="6"/>
  <c r="E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23" i="6"/>
  <c r="M21" i="6"/>
  <c r="B21" i="6"/>
  <c r="H20" i="6"/>
  <c r="F19" i="6"/>
  <c r="E18" i="6"/>
  <c r="N17" i="6"/>
  <c r="D17" i="6"/>
  <c r="C16" i="6"/>
  <c r="A15" i="6"/>
  <c r="G14" i="6"/>
  <c r="B9" i="6"/>
  <c r="B8" i="6"/>
  <c r="G7" i="6"/>
  <c r="H6" i="6"/>
  <c r="F5" i="6"/>
  <c r="E4" i="6"/>
  <c r="A3" i="6"/>
  <c r="S141" i="1"/>
  <c r="S138" i="1"/>
  <c r="M136" i="1"/>
  <c r="O134" i="1"/>
  <c r="O132" i="1"/>
  <c r="M121" i="1"/>
  <c r="M117" i="1"/>
  <c r="S112" i="1"/>
  <c r="S111" i="1"/>
  <c r="D109" i="1"/>
  <c r="R103" i="1"/>
  <c r="M103" i="1"/>
  <c r="D102" i="1"/>
  <c r="P101" i="1"/>
  <c r="J101" i="1"/>
  <c r="B101" i="1"/>
  <c r="N100" i="1"/>
  <c r="F100" i="1"/>
  <c r="Q99" i="1"/>
  <c r="L99" i="1"/>
  <c r="D99" i="1"/>
  <c r="O98" i="1"/>
  <c r="G98" i="1"/>
  <c r="B98" i="1"/>
  <c r="M97" i="1"/>
  <c r="E97" i="1"/>
  <c r="Q96" i="1"/>
  <c r="J96" i="1"/>
  <c r="C96" i="1"/>
  <c r="D95" i="1"/>
  <c r="D94" i="1"/>
  <c r="E93" i="1"/>
  <c r="F92" i="1"/>
  <c r="F91" i="1"/>
  <c r="G90" i="1"/>
  <c r="B90" i="1"/>
  <c r="B89" i="1"/>
  <c r="C88" i="1"/>
  <c r="D87" i="1"/>
  <c r="D86" i="1"/>
  <c r="E85" i="1"/>
  <c r="F84" i="1"/>
  <c r="F83" i="1"/>
  <c r="G82" i="1"/>
  <c r="B82" i="1"/>
  <c r="B81" i="1"/>
  <c r="C80" i="1"/>
  <c r="D79" i="1"/>
  <c r="D78" i="1"/>
  <c r="E77" i="1"/>
  <c r="F76" i="1"/>
  <c r="F75" i="1"/>
  <c r="G74" i="1"/>
  <c r="B74" i="1"/>
  <c r="B73" i="1"/>
  <c r="C72" i="1"/>
  <c r="D71" i="1"/>
  <c r="D70" i="1"/>
  <c r="E69" i="1"/>
  <c r="F68" i="1"/>
  <c r="F67" i="1"/>
  <c r="G66" i="1"/>
  <c r="B66" i="1"/>
  <c r="B65" i="1"/>
  <c r="C64" i="1"/>
  <c r="D63" i="1"/>
  <c r="D62" i="1"/>
  <c r="E61" i="1"/>
  <c r="F60" i="1"/>
  <c r="F59" i="1"/>
  <c r="G58" i="1"/>
  <c r="B58" i="1"/>
  <c r="B57" i="1"/>
  <c r="C56" i="1"/>
  <c r="D55" i="1"/>
  <c r="D54" i="1"/>
  <c r="E53" i="1"/>
  <c r="F52" i="1"/>
  <c r="F51" i="1"/>
  <c r="G50" i="1"/>
  <c r="B50" i="1"/>
  <c r="B49" i="1"/>
  <c r="C48" i="1"/>
  <c r="D47" i="1"/>
  <c r="D46" i="1"/>
  <c r="E45" i="1"/>
  <c r="F44" i="1"/>
  <c r="F43" i="1"/>
  <c r="G42" i="1"/>
  <c r="B42" i="1"/>
  <c r="B41" i="1"/>
  <c r="C40" i="1"/>
  <c r="D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D23" i="6"/>
  <c r="E22" i="6"/>
  <c r="G21" i="6"/>
  <c r="E20" i="6"/>
  <c r="O19" i="6"/>
  <c r="E19" i="6"/>
  <c r="M18" i="6"/>
  <c r="C18" i="6"/>
  <c r="M17" i="6"/>
  <c r="B17" i="6"/>
  <c r="H16" i="6"/>
  <c r="A16" i="6"/>
  <c r="F15" i="6"/>
  <c r="E14" i="6"/>
  <c r="H9" i="6"/>
  <c r="A9" i="6"/>
  <c r="G8" i="6"/>
  <c r="N7" i="6"/>
  <c r="F7" i="6"/>
  <c r="N6" i="6"/>
  <c r="E6" i="6"/>
  <c r="N5" i="6"/>
  <c r="E5" i="6"/>
  <c r="C4" i="6"/>
  <c r="G3" i="6"/>
  <c r="S140" i="1"/>
  <c r="M138" i="1"/>
  <c r="S135" i="1"/>
  <c r="S133" i="1"/>
  <c r="M132" i="1"/>
  <c r="S129" i="1"/>
  <c r="S128" i="1"/>
  <c r="S127" i="1"/>
  <c r="M118" i="1"/>
  <c r="M111" i="1"/>
  <c r="M110" i="1"/>
  <c r="S109" i="1"/>
  <c r="Q103" i="1"/>
  <c r="J103" i="1"/>
  <c r="C102" i="1"/>
  <c r="O101" i="1"/>
  <c r="F101" i="1"/>
  <c r="R100" i="1"/>
  <c r="M100" i="1"/>
  <c r="D100" i="1"/>
  <c r="P99" i="1"/>
  <c r="J99" i="1"/>
  <c r="B99" i="1"/>
  <c r="N98" i="1"/>
  <c r="F98" i="1"/>
  <c r="Q97" i="1"/>
  <c r="L97" i="1"/>
  <c r="D97" i="1"/>
  <c r="O96" i="1"/>
  <c r="G96" i="1"/>
  <c r="B96" i="1"/>
  <c r="B95" i="1"/>
  <c r="C94" i="1"/>
  <c r="D93" i="1"/>
  <c r="D92" i="1"/>
  <c r="E91" i="1"/>
  <c r="F90" i="1"/>
  <c r="F89" i="1"/>
  <c r="G88" i="1"/>
  <c r="B88" i="1"/>
  <c r="B87" i="1"/>
  <c r="C86" i="1"/>
  <c r="D85" i="1"/>
  <c r="D84" i="1"/>
  <c r="E83" i="1"/>
  <c r="F82" i="1"/>
  <c r="F81" i="1"/>
  <c r="G80" i="1"/>
  <c r="B80" i="1"/>
  <c r="B79" i="1"/>
  <c r="C78" i="1"/>
  <c r="D77" i="1"/>
  <c r="D76" i="1"/>
  <c r="E75" i="1"/>
  <c r="F74" i="1"/>
  <c r="F73" i="1"/>
  <c r="G72" i="1"/>
  <c r="B72" i="1"/>
  <c r="B71" i="1"/>
  <c r="C70" i="1"/>
  <c r="D69" i="1"/>
  <c r="D68" i="1"/>
  <c r="E67" i="1"/>
  <c r="F66" i="1"/>
  <c r="F65" i="1"/>
  <c r="G64" i="1"/>
  <c r="B64" i="1"/>
  <c r="B63" i="1"/>
  <c r="C62" i="1"/>
  <c r="D61" i="1"/>
  <c r="D60" i="1"/>
  <c r="E59" i="1"/>
  <c r="F58" i="1"/>
  <c r="F57" i="1"/>
  <c r="G56" i="1"/>
  <c r="B56" i="1"/>
  <c r="B55" i="1"/>
  <c r="C54" i="1"/>
  <c r="D53" i="1"/>
  <c r="D52" i="1"/>
  <c r="E51" i="1"/>
  <c r="F50" i="1"/>
  <c r="F49" i="1"/>
  <c r="G48" i="1"/>
  <c r="B48" i="1"/>
  <c r="B47" i="1"/>
  <c r="C46" i="1"/>
  <c r="D45" i="1"/>
  <c r="D44" i="1"/>
  <c r="E43" i="1"/>
  <c r="F42" i="1"/>
  <c r="F41" i="1"/>
  <c r="G40" i="1"/>
  <c r="B40"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O23" i="6"/>
  <c r="B22" i="6"/>
  <c r="N20" i="6"/>
  <c r="M19" i="6"/>
  <c r="G17" i="6"/>
  <c r="G16" i="6"/>
  <c r="E15" i="6"/>
  <c r="D14" i="6"/>
  <c r="H5" i="6"/>
  <c r="Q2" i="6"/>
  <c r="M140" i="1"/>
  <c r="M135" i="1"/>
  <c r="S131" i="1"/>
  <c r="O129" i="1"/>
  <c r="M127" i="1"/>
  <c r="F112" i="1"/>
  <c r="G102" i="1"/>
  <c r="M101" i="1"/>
  <c r="Q100" i="1"/>
  <c r="C100" i="1"/>
  <c r="F99" i="1"/>
  <c r="M98" i="1"/>
  <c r="P97" i="1"/>
  <c r="B97" i="1"/>
  <c r="F96" i="1"/>
  <c r="G94" i="1"/>
  <c r="B93" i="1"/>
  <c r="D91" i="1"/>
  <c r="E89" i="1"/>
  <c r="F87" i="1"/>
  <c r="B86" i="1"/>
  <c r="C84" i="1"/>
  <c r="D82" i="1"/>
  <c r="F80" i="1"/>
  <c r="G78" i="1"/>
  <c r="B77" i="1"/>
  <c r="D75" i="1"/>
  <c r="E73" i="1"/>
  <c r="F71" i="1"/>
  <c r="B70" i="1"/>
  <c r="C68" i="1"/>
  <c r="D66" i="1"/>
  <c r="F64" i="1"/>
  <c r="G62" i="1"/>
  <c r="B61" i="1"/>
  <c r="D59" i="1"/>
  <c r="E57" i="1"/>
  <c r="F55" i="1"/>
  <c r="B54" i="1"/>
  <c r="C52" i="1"/>
  <c r="D50" i="1"/>
  <c r="F48" i="1"/>
  <c r="G46" i="1"/>
  <c r="B45" i="1"/>
  <c r="D43" i="1"/>
  <c r="E41" i="1"/>
  <c r="F39" i="1"/>
  <c r="C38" i="1"/>
  <c r="G36" i="1"/>
  <c r="E35" i="1"/>
  <c r="C34" i="1"/>
  <c r="G32" i="1"/>
  <c r="E31" i="1"/>
  <c r="C30" i="1"/>
  <c r="L29" i="1"/>
  <c r="R28" i="1"/>
  <c r="G28" i="1"/>
  <c r="P27" i="1"/>
  <c r="E27" i="1"/>
  <c r="N26" i="1"/>
  <c r="C26" i="1"/>
  <c r="L25" i="1"/>
  <c r="R24" i="1"/>
  <c r="G24" i="1"/>
  <c r="P23" i="1"/>
  <c r="E23" i="1"/>
  <c r="C22" i="1"/>
  <c r="L21" i="1"/>
  <c r="R20" i="1"/>
  <c r="G20" i="1"/>
  <c r="P19" i="1"/>
  <c r="E19" i="1"/>
  <c r="C18" i="1"/>
  <c r="O17" i="1"/>
  <c r="F17" i="1"/>
  <c r="J16" i="1"/>
  <c r="C16" i="1"/>
  <c r="N15" i="1"/>
  <c r="F15" i="1"/>
  <c r="G14" i="1"/>
  <c r="F11" i="1"/>
  <c r="B9" i="1"/>
  <c r="B6" i="1"/>
  <c r="H23" i="6"/>
  <c r="A22" i="6"/>
  <c r="G18" i="6"/>
  <c r="F17" i="6"/>
  <c r="D16" i="6"/>
  <c r="D15" i="6"/>
  <c r="A14" i="6"/>
  <c r="F9" i="6"/>
  <c r="E8" i="6"/>
  <c r="D7" i="6"/>
  <c r="D6" i="6"/>
  <c r="B5" i="6"/>
  <c r="G4" i="6"/>
  <c r="D3" i="6"/>
  <c r="S134" i="1"/>
  <c r="M131" i="1"/>
  <c r="M129" i="1"/>
  <c r="M120" i="1"/>
  <c r="F110" i="1"/>
  <c r="F102" i="1"/>
  <c r="L101" i="1"/>
  <c r="O100" i="1"/>
  <c r="B100" i="1"/>
  <c r="E99" i="1"/>
  <c r="J98" i="1"/>
  <c r="O97" i="1"/>
  <c r="R96" i="1"/>
  <c r="D96" i="1"/>
  <c r="F94" i="1"/>
  <c r="B91" i="1"/>
  <c r="D89" i="1"/>
  <c r="E87" i="1"/>
  <c r="B84" i="1"/>
  <c r="D80" i="1"/>
  <c r="F78" i="1"/>
  <c r="B75" i="1"/>
  <c r="D73" i="1"/>
  <c r="F69" i="1"/>
  <c r="B68" i="1"/>
  <c r="D64" i="1"/>
  <c r="F62" i="1"/>
  <c r="B59" i="1"/>
  <c r="D57" i="1"/>
  <c r="F53" i="1"/>
  <c r="C50" i="1"/>
  <c r="D48" i="1"/>
  <c r="G44" i="1"/>
  <c r="E39" i="1"/>
  <c r="F36" i="1"/>
  <c r="D35" i="1"/>
  <c r="F32" i="1"/>
  <c r="D31" i="1"/>
  <c r="J29" i="1"/>
  <c r="F28" i="1"/>
  <c r="O27" i="1"/>
  <c r="M26" i="1"/>
  <c r="B26" i="1"/>
  <c r="J25" i="1"/>
  <c r="F24" i="1"/>
  <c r="O23" i="1"/>
  <c r="B22" i="1"/>
  <c r="Q20" i="1"/>
  <c r="O19" i="1"/>
  <c r="O130" i="1"/>
  <c r="F111" i="1"/>
  <c r="O103" i="1"/>
  <c r="E101" i="1"/>
  <c r="O99" i="1"/>
  <c r="R98" i="1"/>
  <c r="J97" i="1"/>
  <c r="F95" i="1"/>
  <c r="C92" i="1"/>
  <c r="F88" i="1"/>
  <c r="B85" i="1"/>
  <c r="E81" i="1"/>
  <c r="B78" i="1"/>
  <c r="D74" i="1"/>
  <c r="F72" i="1"/>
  <c r="B69" i="1"/>
  <c r="E65" i="1"/>
  <c r="F63" i="1"/>
  <c r="C60" i="1"/>
  <c r="F56" i="1"/>
  <c r="B53" i="1"/>
  <c r="E49" i="1"/>
  <c r="B46" i="1"/>
  <c r="C44" i="1"/>
  <c r="F40" i="1"/>
  <c r="E37" i="1"/>
  <c r="G34" i="1"/>
  <c r="C32" i="1"/>
  <c r="G30" i="1"/>
  <c r="E29" i="1"/>
  <c r="N28" i="1"/>
  <c r="L27" i="1"/>
  <c r="G26" i="1"/>
  <c r="E25" i="1"/>
  <c r="N24" i="1"/>
  <c r="G22" i="1"/>
  <c r="P21" i="1"/>
  <c r="N20" i="1"/>
  <c r="L19" i="1"/>
  <c r="Q17" i="1"/>
  <c r="L17" i="1"/>
  <c r="E16" i="1"/>
  <c r="L15" i="1"/>
  <c r="F7" i="1"/>
  <c r="M22" i="6"/>
  <c r="C20" i="6"/>
  <c r="O17" i="6"/>
  <c r="M15" i="6"/>
  <c r="N9" i="6"/>
  <c r="H19" i="6"/>
  <c r="S139" i="1"/>
  <c r="G92" i="1"/>
  <c r="F85" i="1"/>
  <c r="C82" i="1"/>
  <c r="G76" i="1"/>
  <c r="E71" i="1"/>
  <c r="C66" i="1"/>
  <c r="G60" i="1"/>
  <c r="E55" i="1"/>
  <c r="B52" i="1"/>
  <c r="F46" i="1"/>
  <c r="B43" i="1"/>
  <c r="D41" i="1"/>
  <c r="B38" i="1"/>
  <c r="B34" i="1"/>
  <c r="B30" i="1"/>
  <c r="Q28" i="1"/>
  <c r="D27" i="1"/>
  <c r="Q24" i="1"/>
  <c r="D23" i="1"/>
  <c r="J21" i="1"/>
  <c r="F20" i="1"/>
  <c r="D19" i="1"/>
  <c r="B18" i="1"/>
  <c r="M17" i="1"/>
  <c r="E17" i="1"/>
  <c r="G16" i="1"/>
  <c r="R15" i="1"/>
  <c r="M15" i="1"/>
  <c r="E15" i="1"/>
  <c r="E14" i="1"/>
  <c r="B11" i="1"/>
  <c r="F8" i="1"/>
  <c r="B5" i="1"/>
  <c r="F21" i="6"/>
  <c r="D20" i="6"/>
  <c r="B19" i="6"/>
  <c r="B18" i="6"/>
  <c r="O15" i="6"/>
  <c r="E9" i="6"/>
  <c r="C8" i="6"/>
  <c r="B7" i="6"/>
  <c r="C6" i="6"/>
  <c r="A5" i="6"/>
  <c r="B4" i="6"/>
  <c r="C3" i="6"/>
  <c r="S137" i="1"/>
  <c r="O133" i="1"/>
  <c r="O128" i="1"/>
  <c r="M119" i="1"/>
  <c r="M109" i="1"/>
  <c r="B102" i="1"/>
  <c r="J100" i="1"/>
  <c r="D98" i="1"/>
  <c r="N96" i="1"/>
  <c r="B94" i="1"/>
  <c r="D90" i="1"/>
  <c r="G86" i="1"/>
  <c r="D83" i="1"/>
  <c r="F79" i="1"/>
  <c r="C76" i="1"/>
  <c r="G70" i="1"/>
  <c r="D67" i="1"/>
  <c r="B62" i="1"/>
  <c r="D58" i="1"/>
  <c r="G54" i="1"/>
  <c r="D51" i="1"/>
  <c r="F47" i="1"/>
  <c r="D42" i="1"/>
  <c r="G38" i="1"/>
  <c r="C36" i="1"/>
  <c r="E33" i="1"/>
  <c r="P29" i="1"/>
  <c r="C28" i="1"/>
  <c r="R26" i="1"/>
  <c r="P25" i="1"/>
  <c r="C24" i="1"/>
  <c r="L23" i="1"/>
  <c r="E21" i="1"/>
  <c r="C20" i="1"/>
  <c r="G18" i="1"/>
  <c r="D17" i="1"/>
  <c r="Q15" i="1"/>
  <c r="C15" i="1"/>
  <c r="D14" i="1"/>
  <c r="F10" i="1"/>
  <c r="E4" i="1"/>
  <c r="C21" i="6"/>
  <c r="A19" i="6"/>
  <c r="O16" i="6"/>
  <c r="M7" i="6"/>
  <c r="N3" i="6"/>
  <c r="M133" i="1"/>
  <c r="F109" i="1"/>
  <c r="Q101" i="1"/>
  <c r="Q98" i="1"/>
  <c r="E95" i="1"/>
  <c r="D88" i="1"/>
  <c r="D81" i="1"/>
  <c r="C74" i="1"/>
  <c r="B67" i="1"/>
  <c r="B60" i="1"/>
  <c r="G52" i="1"/>
  <c r="F45" i="1"/>
  <c r="F38" i="1"/>
  <c r="D33" i="1"/>
  <c r="D29" i="1"/>
  <c r="Q26" i="1"/>
  <c r="M24" i="1"/>
  <c r="F22" i="1"/>
  <c r="B20" i="1"/>
  <c r="J17" i="1"/>
  <c r="G15" i="1"/>
  <c r="B7" i="1"/>
  <c r="M130" i="1"/>
  <c r="D101" i="1"/>
  <c r="C98" i="1"/>
  <c r="F93" i="1"/>
  <c r="F86" i="1"/>
  <c r="E79" i="1"/>
  <c r="D72" i="1"/>
  <c r="D65" i="1"/>
  <c r="C58" i="1"/>
  <c r="B51" i="1"/>
  <c r="B44" i="1"/>
  <c r="D37" i="1"/>
  <c r="B32" i="1"/>
  <c r="M28" i="1"/>
  <c r="F26" i="1"/>
  <c r="B24" i="1"/>
  <c r="O21" i="1"/>
  <c r="J19" i="1"/>
  <c r="B17" i="1"/>
  <c r="B15" i="1"/>
  <c r="B4" i="1"/>
  <c r="M116" i="1"/>
  <c r="G100" i="1"/>
  <c r="F97" i="1"/>
  <c r="B92" i="1"/>
  <c r="G84" i="1"/>
  <c r="F77" i="1"/>
  <c r="F70" i="1"/>
  <c r="E63" i="1"/>
  <c r="D56" i="1"/>
  <c r="D49" i="1"/>
  <c r="C42" i="1"/>
  <c r="B36" i="1"/>
  <c r="F30" i="1"/>
  <c r="B28" i="1"/>
  <c r="O25" i="1"/>
  <c r="J23" i="1"/>
  <c r="D21" i="1"/>
  <c r="F18" i="1"/>
  <c r="D16" i="1"/>
  <c r="C14" i="1"/>
  <c r="S136" i="1"/>
  <c r="D111" i="1"/>
  <c r="N103" i="1"/>
  <c r="M99" i="1"/>
  <c r="M96" i="1"/>
  <c r="C90" i="1"/>
  <c r="B83" i="1"/>
  <c r="B76" i="1"/>
  <c r="G68" i="1"/>
  <c r="F61" i="1"/>
  <c r="F54" i="1"/>
  <c r="E47" i="1"/>
  <c r="D40" i="1"/>
  <c r="F34" i="1"/>
  <c r="O29" i="1"/>
  <c r="J27" i="1"/>
  <c r="D25" i="1"/>
  <c r="M20" i="1"/>
  <c r="P17" i="1"/>
  <c r="P15" i="1"/>
  <c r="F9" i="1"/>
  <c r="M22" i="1" l="1"/>
  <c r="H126" i="1"/>
  <c r="B112" i="1"/>
  <c r="B120" i="1"/>
  <c r="B123" i="1"/>
  <c r="N22" i="1"/>
  <c r="B109" i="1"/>
  <c r="D118" i="1"/>
  <c r="D123" i="1"/>
  <c r="H127" i="1"/>
  <c r="H129" i="1"/>
  <c r="D120" i="1"/>
  <c r="R22" i="1"/>
  <c r="B119" i="1"/>
  <c r="B121" i="1"/>
  <c r="H124" i="1"/>
  <c r="B117" i="1"/>
  <c r="D119" i="1"/>
  <c r="H121" i="1"/>
  <c r="B125" i="1"/>
  <c r="B130" i="1"/>
  <c r="P2" i="6"/>
  <c r="O22" i="1"/>
  <c r="H109" i="1"/>
  <c r="B110" i="1"/>
  <c r="B111" i="1"/>
  <c r="H117" i="1"/>
  <c r="H118" i="1"/>
  <c r="H119" i="1"/>
  <c r="B122" i="1"/>
  <c r="H123" i="1"/>
  <c r="H125" i="1"/>
  <c r="B128" i="1"/>
  <c r="H130" i="1"/>
  <c r="J22" i="1"/>
  <c r="Q22" i="1"/>
  <c r="H111" i="1"/>
  <c r="H112" i="1"/>
  <c r="D122" i="1"/>
  <c r="D124" i="1"/>
  <c r="B126" i="1"/>
  <c r="H128" i="1"/>
  <c r="H131" i="1"/>
  <c r="L22" i="1"/>
  <c r="P22" i="1"/>
  <c r="H110" i="1"/>
  <c r="D117" i="1"/>
  <c r="B118" i="1"/>
  <c r="H120" i="1"/>
  <c r="D121" i="1"/>
  <c r="H122" i="1"/>
  <c r="B124" i="1"/>
  <c r="D125" i="1"/>
  <c r="B127" i="1"/>
  <c r="B129" i="1"/>
  <c r="B131" i="1"/>
  <c r="J4" i="6"/>
  <c r="P29" i="6" l="1"/>
  <c r="P25" i="6"/>
  <c r="P21" i="6"/>
  <c r="P17" i="6"/>
  <c r="P11" i="6"/>
  <c r="P7" i="6"/>
  <c r="P3" i="6"/>
  <c r="P28" i="6"/>
  <c r="P24" i="6"/>
  <c r="P27" i="6"/>
  <c r="P15" i="6"/>
  <c r="P10" i="6"/>
  <c r="P26" i="6"/>
  <c r="P19" i="6"/>
  <c r="P18" i="6"/>
  <c r="P13" i="6"/>
  <c r="P6" i="6"/>
  <c r="P5" i="6"/>
  <c r="P4" i="6"/>
  <c r="P23" i="6"/>
  <c r="P20" i="6"/>
  <c r="P14" i="6"/>
  <c r="P12" i="6"/>
  <c r="P22" i="6"/>
  <c r="P16" i="6"/>
  <c r="P9" i="6"/>
  <c r="P8" i="6"/>
  <c r="J8" i="6"/>
  <c r="J22" i="6"/>
  <c r="J18" i="6"/>
  <c r="J17" i="6"/>
  <c r="J15" i="6"/>
  <c r="J9" i="6"/>
  <c r="J21" i="6"/>
  <c r="J7" i="6"/>
  <c r="J16" i="6"/>
  <c r="J5" i="6"/>
  <c r="J23" i="6"/>
  <c r="J20" i="6"/>
  <c r="J6" i="6"/>
  <c r="J19" i="6"/>
</calcChain>
</file>

<file path=xl/sharedStrings.xml><?xml version="1.0" encoding="utf-8"?>
<sst xmlns="http://schemas.openxmlformats.org/spreadsheetml/2006/main" count="622" uniqueCount="285">
  <si>
    <t>q19041616.IB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</si>
  <si>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</si>
  <si>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</si>
  <si>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</si>
  <si>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</si>
  <si>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</si>
  <si>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</si>
  <si>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</si>
  <si>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</si>
  <si>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</si>
  <si>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</si>
  <si>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</si>
  <si>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</si>
  <si>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</si>
  <si>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</si>
  <si>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</si>
  <si>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</si>
  <si>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</si>
  <si>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</si>
  <si>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</si>
  <si>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</si>
  <si>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</si>
  <si>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</si>
  <si>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031653002.IB</t>
  </si>
  <si>
    <t>主体级别</t>
  </si>
  <si>
    <t>AAA</t>
  </si>
  <si>
    <t>031491050.IB</t>
  </si>
  <si>
    <t>*选择性黏贴</t>
  </si>
  <si>
    <t>031559031.IB</t>
  </si>
  <si>
    <t>数据年度</t>
  </si>
  <si>
    <t>2017年</t>
  </si>
  <si>
    <t>011699233.IB</t>
  </si>
  <si>
    <t>总资产</t>
  </si>
  <si>
    <t>011699193.IB</t>
  </si>
  <si>
    <t>负债率</t>
  </si>
  <si>
    <t>1082159.IB</t>
  </si>
  <si>
    <t>流动比率</t>
  </si>
  <si>
    <t>101656014.IB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</si>
  <si>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</si>
  <si>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</si>
  <si>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</si>
  <si>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</si>
  <si>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</si>
  <si>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</si>
  <si>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</si>
  <si>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</si>
  <si>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</si>
  <si>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</si>
  <si>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</si>
  <si>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</si>
  <si>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</si>
  <si>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</si>
  <si>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</si>
  <si>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</si>
  <si>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</si>
  <si>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</si>
  <si>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</si>
  <si>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</si>
  <si>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</si>
  <si>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</si>
  <si>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</si>
  <si>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</si>
  <si>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</si>
  <si>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</si>
  <si>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</si>
  <si>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</si>
  <si>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</si>
  <si>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</si>
  <si>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</si>
  <si>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</si>
  <si>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</si>
  <si>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</si>
  <si>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</si>
  <si>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</si>
  <si>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</si>
  <si>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</si>
  <si>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</si>
  <si>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</si>
  <si>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</si>
  <si>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</si>
  <si>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</si>
  <si>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</si>
  <si>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</si>
  <si>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</si>
  <si>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</si>
  <si>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</si>
  <si>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</si>
  <si>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</si>
  <si>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</si>
  <si>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</si>
  <si>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</si>
  <si>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</si>
  <si>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</si>
  <si>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</si>
  <si>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</si>
  <si>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</si>
  <si>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</si>
  <si>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</si>
  <si>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</si>
  <si>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</si>
  <si>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</si>
  <si>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</si>
  <si>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</si>
  <si>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</si>
  <si>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</si>
  <si>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</si>
  <si>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</si>
  <si>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</si>
  <si>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</si>
  <si>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</si>
  <si>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</si>
  <si>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</si>
  <si>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</si>
  <si>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</si>
  <si>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</si>
  <si>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</si>
  <si>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</si>
  <si>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</si>
  <si>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</si>
  <si>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</si>
  <si>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</si>
  <si>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150661.SH</t>
  </si>
  <si>
    <t>20180919</t>
  </si>
  <si>
    <t>18包钢03</t>
  </si>
  <si>
    <t>150583.SH</t>
  </si>
  <si>
    <t>20180726</t>
  </si>
  <si>
    <t>18包钢02</t>
  </si>
  <si>
    <t>150411.SH</t>
  </si>
  <si>
    <t>20180517</t>
  </si>
  <si>
    <t>18包钢01</t>
  </si>
  <si>
    <t>031800322.IB</t>
  </si>
  <si>
    <t>20180516</t>
  </si>
  <si>
    <t>18包钢PPN001</t>
  </si>
  <si>
    <t>041566016.IB</t>
  </si>
  <si>
    <t>20150825</t>
  </si>
  <si>
    <t>15包钢CP001</t>
  </si>
  <si>
    <t>122369.SH</t>
  </si>
  <si>
    <t>20150421</t>
  </si>
  <si>
    <t>13包钢04</t>
  </si>
  <si>
    <t>122342.SH</t>
  </si>
  <si>
    <t>20150126</t>
  </si>
  <si>
    <t>13包钢03</t>
  </si>
  <si>
    <t>041466024.IB</t>
  </si>
  <si>
    <t>20140917</t>
  </si>
  <si>
    <t>14包钢CP001</t>
  </si>
  <si>
    <t>122290.SH</t>
  </si>
  <si>
    <t>20140306</t>
  </si>
  <si>
    <t>13包钢01</t>
  </si>
  <si>
    <t>041366015.IB</t>
  </si>
  <si>
    <t>20131015</t>
  </si>
  <si>
    <t>13包钢CP001</t>
  </si>
  <si>
    <t>1282150.IB</t>
  </si>
  <si>
    <t>20120510</t>
  </si>
  <si>
    <t>12包钢MTN1</t>
  </si>
  <si>
    <t>1182060.IB</t>
  </si>
  <si>
    <t>20110308</t>
  </si>
  <si>
    <t>11包钢MTN1</t>
  </si>
  <si>
    <t>0982107.IB</t>
  </si>
  <si>
    <t>20090729</t>
  </si>
  <si>
    <t>09包钢MTN1</t>
  </si>
  <si>
    <t>0881131.IB</t>
  </si>
  <si>
    <t>20080625</t>
  </si>
  <si>
    <t>08包钢CP02</t>
  </si>
  <si>
    <t>0881072.IB</t>
  </si>
  <si>
    <t>20080319</t>
  </si>
  <si>
    <t>08包钢CP01</t>
  </si>
  <si>
    <t>0781221.IB</t>
  </si>
  <si>
    <t>20071023</t>
  </si>
  <si>
    <t>07包钢CP01</t>
  </si>
  <si>
    <t>110010.SH</t>
  </si>
  <si>
    <t>20041110</t>
  </si>
  <si>
    <t>包钢转债(退市)</t>
  </si>
  <si>
    <t>历史主体评级</t>
  </si>
  <si>
    <t>发布日期</t>
  </si>
  <si>
    <t>主体资信级别</t>
  </si>
  <si>
    <t>评级展望</t>
  </si>
  <si>
    <t>评级机构</t>
  </si>
  <si>
    <t>20180822</t>
  </si>
  <si>
    <t>稳定</t>
  </si>
  <si>
    <t>联合资信评估有限公司</t>
  </si>
  <si>
    <t>20180713</t>
  </si>
  <si>
    <t>20170718</t>
  </si>
  <si>
    <t>AA+</t>
  </si>
  <si>
    <t>20170620</t>
  </si>
  <si>
    <t>联合信用评级有限公司</t>
  </si>
  <si>
    <t>20160719</t>
  </si>
  <si>
    <t>负面</t>
  </si>
  <si>
    <t>20160616</t>
  </si>
  <si>
    <t>20160219</t>
  </si>
  <si>
    <t>20150717</t>
  </si>
  <si>
    <t>20150626</t>
  </si>
  <si>
    <t>20150318</t>
  </si>
  <si>
    <t>20150303</t>
  </si>
  <si>
    <t>20141030</t>
  </si>
  <si>
    <t>20140918</t>
  </si>
  <si>
    <t>20140724</t>
  </si>
  <si>
    <t>20140504</t>
  </si>
  <si>
    <t>20140415</t>
  </si>
  <si>
    <t>20130726</t>
  </si>
  <si>
    <t>20130711</t>
  </si>
  <si>
    <t>20130705</t>
  </si>
  <si>
    <t>20121231</t>
  </si>
  <si>
    <t>20120329</t>
  </si>
  <si>
    <t>20111228</t>
  </si>
  <si>
    <t>20110131</t>
  </si>
  <si>
    <t>AA</t>
  </si>
  <si>
    <t>20100803</t>
  </si>
  <si>
    <t>20090521</t>
  </si>
  <si>
    <t>20090428</t>
  </si>
  <si>
    <t>20080616</t>
  </si>
  <si>
    <t>20080220</t>
  </si>
  <si>
    <t>20071116</t>
  </si>
  <si>
    <t>20070323</t>
  </si>
  <si>
    <t>--</t>
  </si>
  <si>
    <t>最新前五大股东（持股比例）</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</si>
  <si>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</si>
  <si>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</si>
  <si>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</si>
  <si>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</si>
  <si>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</si>
  <si>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</si>
  <si>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</si>
  <si>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</si>
  <si>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内蒙古包钢钢联股份有限公司</t>
  </si>
  <si>
    <t>AA+稳定上调至AAA稳定</t>
  </si>
  <si>
    <t>跟踪器内，受钢铁行业景气度回暖，公司钢材量价齐升及尾矿资源的开发利用影响，受规模大幅增加；公司收购宝山矿业公司白云鄂博资源综合利用工程相关资产将会加快公司尾矿库资源的开发利用，2017年收入和利润同比大幅增长，稀土利润贡献大，未来也将成为公司新的业绩增长点。</t>
  </si>
  <si>
    <t>马钢(集团)控股有限公司</t>
  </si>
  <si>
    <t>中诚信国际信用评级有限责任公司</t>
  </si>
  <si>
    <t>近年来公司大力推进产品转型升级，在关闭落后产能的同时加大了附加价值较高的板材产品生产并大力开发高速车轮及符合市场需求的精品棒、型材产品；2017年随着自身将本增效的开展及刚才市场好转，公司收入及盈利水平大幅提升；此外受益于经营利润积累，公司资产负债表及总资本化比率逐年下降，资本结构较优。</t>
  </si>
  <si>
    <t>马鞍山钢铁股份有限公司</t>
  </si>
  <si>
    <t>公司产品以板材、型钢、线棒材等钢材产品为主，产品售价易受钢铁市场行情影响，近年来受益于钢铁市场回暖公司盈利水大幅提升。公司资产以非流动资产为主，流动资产中应收账款账龄较短，存货跌价风险较低，资产质量良好；近年来，公司短期债务占比较高，但整体债务负担较适宜。</t>
  </si>
  <si>
    <t>近一年来同行业发债企业主体评级下调情况</t>
  </si>
  <si>
    <t>主体资信级别下调</t>
  </si>
  <si>
    <t>主体评级展望下调</t>
  </si>
  <si>
    <t>重庆钢铁集团矿业有限公司</t>
  </si>
  <si>
    <t>AA-负面下调至A+列入观察名单</t>
  </si>
  <si>
    <t>中诚信证券评估有限公司</t>
  </si>
  <si>
    <t>2017年受益于下游钢铁行业回暖，公司整体业务规模和毛利情况均有所回升，但当年发生大额债权重组损失和资产减值损失，负面影响公司最终盈利能力。</t>
  </si>
  <si>
    <t>新疆金特钢铁股份有限公司</t>
  </si>
  <si>
    <t>B-负面下调至CC负面</t>
  </si>
  <si>
    <t>鹏元资信评估有限公司</t>
  </si>
  <si>
    <t>公司生产经营情况逐渐恶化，已经出现严重的资不抵债的状况，所有银行账户已被查封，公司处于停产状态，且预计未来可预见期间内并不会得到好转.2018年5月15召开的债券持有人会议对债券进行一定比例的偿付。</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</si>
  <si>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</si>
  <si>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</si>
  <si>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</si>
  <si>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</si>
  <si>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</si>
  <si>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</si>
  <si>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</si>
  <si>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</si>
  <si>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</si>
  <si>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</si>
  <si>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</si>
  <si>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</si>
  <si>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</si>
  <si>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</si>
  <si>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</si>
  <si>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</si>
  <si>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</si>
  <si>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</si>
  <si>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</si>
  <si>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</si>
  <si>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</si>
  <si>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</si>
  <si>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</si>
  <si>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</si>
  <si>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</si>
  <si>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地方国有企业</t>
  </si>
  <si>
    <t>材料--材料Ⅱ--金属、非金属与采矿--钢铁</t>
  </si>
  <si>
    <t>内蒙古自治区包头市昆区河西工业区</t>
  </si>
  <si>
    <t>公司是中国重要的钢铁工业基地、世界最大的稀土工业基地和内蒙古自治区工业龙头企业。公司主要从事矿产资源开发利用、钢铁产品的生产与销售。主要产品分为矿产资源开发产品和钢铁产品两类。矿产资源开发的产品主要有：铁精矿、稀土精矿、萤石精矿等；钢铁产品主要有：建筑钢材、冷热轧板卷、镀锌钢板、中厚板、无缝管、重轨、型钢等。产品主要用于基建、房地产、汽车、家电、风电、机械制造、高压锅炉、石油化工、基础设施建设及黑色金属、有色金属冶炼用矿产品等行业。公司已形成年产上千万吨铁、钢、材配套能力，总体装备水平达到国内外一流，形成“板、管、轨、线”四条精品线的生产格局。公司控股股东拥有世界著名的白云鄂博铁矿，所在地区煤炭、电力充足，在资源成本方面具有良好的比较优势。公司多次荣获“全国质量奖”、“全国实施卓越绩效模式先进企业特别奖”、“中国工业大奖提名奖”、“全国钢铁行业五四红旗团委标兵”等证书。</t>
  </si>
  <si>
    <t>包头钢铁(集团)有限责任公司</t>
  </si>
  <si>
    <t>上海理家盈贸易有限公司</t>
  </si>
  <si>
    <t>国华人寿保险股份有限公司</t>
  </si>
  <si>
    <t>上海六禾丁香投资中心(有限合伙)</t>
  </si>
  <si>
    <t>中国证券金融股份有限公司</t>
  </si>
  <si>
    <t>A-1</t>
  </si>
  <si>
    <t>太原钢铁(集团)有限公司</t>
  </si>
  <si>
    <t>首钢集团有限公司</t>
  </si>
  <si>
    <t>湖南华菱钢铁集团有限责任公司</t>
  </si>
  <si>
    <t>宝山钢铁股份有限公司</t>
  </si>
  <si>
    <t>山东钢铁集团有限公司</t>
  </si>
  <si>
    <t>河钢集团有限公司</t>
  </si>
  <si>
    <t>鞍山钢铁集团有限公司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</si>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</sst>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内蒙古包钢钢联股份有限公司</v>
      </c>
      <c r="C4" s="120"/>
      <c r="D4" s="57" t="s">
        <v>3</v>
      </c>
      <c r="E4" s="119" t="str">
        <f>[1]!s_info_nature(A2)</f>
        <v>地方国有企业</v>
      </c>
      <c r="F4" s="120"/>
      <c r="G4" s="120"/>
      <c r="H4" s="19"/>
    </row>
    <row r="5" spans="1:20" s="17" customFormat="1" ht="14.25" customHeight="1" x14ac:dyDescent="0.25">
      <c r="A5" s="57" t="s">
        <v>4</v>
      </c>
      <c r="B5" s="119" t="str">
        <f>[1]!b_issuer_windindustry(A2,9)</f>
        <v>材料--材料Ⅱ--金属、非金属与采矿--钢铁</v>
      </c>
      <c r="C5" s="120"/>
      <c r="D5" s="57" t="s">
        <v>5</v>
      </c>
      <c r="E5" s="119" t="str">
        <f>[1]!b_issuer_regaddress(A2)</f>
        <v>内蒙古自治区包头市昆区河西工业区</v>
      </c>
      <c r="F5" s="120"/>
      <c r="G5" s="120"/>
    </row>
    <row r="6" spans="1:20" s="17" customFormat="1" ht="81" customHeight="1" x14ac:dyDescent="0.25">
      <c r="A6" s="57" t="s">
        <v>6</v>
      </c>
      <c r="B6" s="121" t="str">
        <f>[1]!s_info_briefing(A2)</f>
        <v>公司是中国重要的钢铁工业基地、世界最大的稀土工业基地和内蒙古自治区工业龙头企业。公司主要从事矿产资源开发利用、钢铁产品的生产与销售。主要产品分为矿产资源开发产品和钢铁产品两类。矿产资源开发的产品主要有：铁精矿、稀土精矿、萤石精矿等；钢铁产品主要有：建筑钢材、冷热轧板卷、镀锌钢板、中厚板、无缝管、重轨、型钢等。产品主要用于基建、房地产、汽车、家电、风电、机械制造、高压锅炉、石油化工、基础设施建设及黑色金属、有色金属冶炼用矿产品等行业。公司已形成年产上千万吨铁、钢、材配套能力，总体装备水平达到国内外一流，形成“板、管、轨、线”四条精品线的生产格局。公司控股股东拥有世界著名的白云鄂博铁矿，所在地区煤炭、电力充足，在资源成本方面具有良好的比较优势。公司多次荣获“全国质量奖”、“全国实施卓越绩效模式先进企业特别奖”、“中国工业大奖提名奖”、“全国钢铁行业五四红旗团委标兵”等证书。</v>
      </c>
      <c r="C6" s="120"/>
      <c r="D6" s="120"/>
      <c r="E6" s="120"/>
      <c r="F6" s="120"/>
      <c r="G6" s="120"/>
    </row>
    <row r="7" spans="1:20" s="17" customFormat="1" x14ac:dyDescent="0.25">
      <c r="A7" s="59" t="s">
        <v>7</v>
      </c>
      <c r="B7" s="122" t="str">
        <f>[1]!b_issuer_shareholder(A2,"",1)</f>
        <v>包头钢铁(集团)有限责任公司</v>
      </c>
      <c r="C7" s="120"/>
      <c r="D7" s="120"/>
      <c r="E7" s="120"/>
      <c r="F7" s="61">
        <f>[1]!b_issuer_propofshareholder($A$2,"",1)%</f>
        <v>0.54659999847412111</v>
      </c>
      <c r="G7" s="60"/>
      <c r="H7" s="20" t="s">
        <v>8</v>
      </c>
      <c r="M7" s="24">
        <v>42004</v>
      </c>
      <c r="N7" s="24">
        <v>42369</v>
      </c>
      <c r="O7" s="24">
        <v>41639</v>
      </c>
      <c r="P7" s="62" t="s">
        <v>9</v>
      </c>
      <c r="Q7" s="62" t="s">
        <v>10</v>
      </c>
      <c r="R7" s="62" t="s">
        <v>11</v>
      </c>
    </row>
    <row r="8" spans="1:20" s="17" customFormat="1" x14ac:dyDescent="0.25">
      <c r="A8" s="59"/>
      <c r="B8" s="122" t="str">
        <f>[1]!b_issuer_shareholder(A2,"",2)</f>
        <v>上海理家盈贸易有限公司</v>
      </c>
      <c r="C8" s="120"/>
      <c r="D8" s="120"/>
      <c r="E8" s="120"/>
      <c r="F8" s="61">
        <f>[1]!b_issuer_propofshareholder($A$2,"",2)%</f>
        <v>4.7800002098083494E-2</v>
      </c>
      <c r="G8" s="60"/>
      <c r="H8" s="20"/>
      <c r="M8" s="25"/>
      <c r="O8" s="25"/>
      <c r="P8" s="63"/>
    </row>
    <row r="9" spans="1:20" s="17" customFormat="1" x14ac:dyDescent="0.25">
      <c r="A9" s="59"/>
      <c r="B9" s="122" t="str">
        <f>[1]!b_issuer_shareholder(A2,"",3)</f>
        <v>国华人寿保险股份有限公司</v>
      </c>
      <c r="C9" s="120"/>
      <c r="D9" s="120"/>
      <c r="E9" s="120"/>
      <c r="F9" s="61">
        <f>[1]!b_issuer_propofshareholder($A$2,"",3)%</f>
        <v>3.7499999999999999E-2</v>
      </c>
      <c r="G9" s="60"/>
      <c r="H9" s="20"/>
      <c r="M9" s="25"/>
      <c r="O9" s="25"/>
      <c r="P9" s="63"/>
    </row>
    <row r="10" spans="1:20" s="17" customFormat="1" x14ac:dyDescent="0.25">
      <c r="A10" s="59"/>
      <c r="B10" s="122" t="str">
        <f>[1]!b_issuer_shareholder(A2,"",4)</f>
        <v>上海六禾丁香投资中心(有限合伙)</v>
      </c>
      <c r="C10" s="120"/>
      <c r="D10" s="120"/>
      <c r="E10" s="120"/>
      <c r="F10" s="61">
        <f>[1]!b_issuer_propofshareholder($A$2,"",4)%</f>
        <v>2.9000000953674318E-2</v>
      </c>
      <c r="G10" s="60"/>
      <c r="H10" s="20"/>
      <c r="M10" s="25"/>
      <c r="O10" s="25"/>
      <c r="P10" s="63"/>
    </row>
    <row r="11" spans="1:20" s="17" customFormat="1" x14ac:dyDescent="0.25">
      <c r="A11" s="59"/>
      <c r="B11" s="122" t="str">
        <f>[1]!b_issuer_shareholder(A2,"",5)</f>
        <v>中国证券金融股份有限公司</v>
      </c>
      <c r="C11" s="120"/>
      <c r="D11" s="120"/>
      <c r="E11" s="120"/>
      <c r="F11" s="61">
        <f>[1]!b_issuer_propofshareholder($A$2,"",5)%</f>
        <v>2.5299999713897705E-2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q19041616.IB</v>
      </c>
      <c r="K14" s="26"/>
      <c r="L14" s="27" t="str">
        <f>T15</f>
        <v>031653002.IB</v>
      </c>
      <c r="M14" s="27" t="str">
        <f>T16</f>
        <v>031491050.IB</v>
      </c>
      <c r="N14" s="27" t="str">
        <f>T17</f>
        <v>031559031.IB</v>
      </c>
      <c r="O14" s="27" t="str">
        <f>T18</f>
        <v>011699233.IB</v>
      </c>
      <c r="P14" s="27" t="str">
        <f>T19</f>
        <v>011699193.IB</v>
      </c>
      <c r="Q14" s="27" t="str">
        <f>T20</f>
        <v>1082159.IB</v>
      </c>
      <c r="R14" s="5" t="str">
        <f>T21</f>
        <v>101656014.IB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内蒙古包钢钢联股份有限公司</v>
      </c>
      <c r="K15" s="138"/>
      <c r="L15" s="8" t="str">
        <f>[1]!b_info_issuer(L14)</f>
        <v>太原钢铁(集团)有限公司</v>
      </c>
      <c r="M15" s="8" t="str">
        <f>[1]!b_info_issuer(M14)</f>
        <v>首钢集团有限公司</v>
      </c>
      <c r="N15" s="8" t="str">
        <f>[1]!b_info_issuer(N14)</f>
        <v>湖南华菱钢铁集团有限责任公司</v>
      </c>
      <c r="O15" s="8" t="str">
        <f>[1]!b_info_issuer(O14)</f>
        <v>宝山钢铁股份有限公司</v>
      </c>
      <c r="P15" s="8" t="str">
        <f>[1]!b_info_issuer(P14)</f>
        <v>山东钢铁集团有限公司</v>
      </c>
      <c r="Q15" s="8" t="str">
        <f>[1]!b_info_issuer(Q14)</f>
        <v>河钢集团有限公司</v>
      </c>
      <c r="R15" s="8" t="str">
        <f>[1]!b_info_issuer(R14)</f>
        <v>鞍山钢铁集团有限公司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中央国有企业</v>
      </c>
      <c r="P17" s="67" t="str">
        <f>[1]!s_info_nature(P14)</f>
        <v>地方国有企业</v>
      </c>
      <c r="Q17" s="67" t="str">
        <f>[1]!s_info_nature(Q14)</f>
        <v>地方国有企业</v>
      </c>
      <c r="R17" s="67" t="str">
        <f>[1]!s_info_nature(R14)</f>
        <v>中央国有企业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1466.4246483431</v>
      </c>
      <c r="K19" s="124"/>
      <c r="L19" s="68">
        <f>[1]!b_stm07_bs(L14,74,L13,1)/100000000</f>
        <v>1327.1894315094</v>
      </c>
      <c r="M19" s="68">
        <f>[1]!b_stm07_bs(M14,74,M13,1)/100000000</f>
        <v>5011.4268697978005</v>
      </c>
      <c r="N19" s="68">
        <f>[1]!b_stm07_bs(N14,74,N13,1)/100000000</f>
        <v>1171.1285856269001</v>
      </c>
      <c r="O19" s="68">
        <f>[1]!b_stm07_bs(O14,74,O13,1)/100000000</f>
        <v>3502.3463261516999</v>
      </c>
      <c r="P19" s="68">
        <f>[1]!b_stm07_bs(P14,74,P13,1)/100000000</f>
        <v>2986.5494964178001</v>
      </c>
      <c r="Q19" s="68">
        <f>[1]!b_stm07_bs(Q14,74,Q13,1)/100000000</f>
        <v>3761.8377103056</v>
      </c>
      <c r="R19" s="68">
        <f>[1]!b_stm07_bs(R14,74,R13,1)/100000000</f>
        <v>2261.7662541220998</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0.66219099999999997</v>
      </c>
      <c r="K20" s="124"/>
      <c r="L20" s="10">
        <f>[1]!s_fa_debttoassets(L14,L13)/100</f>
        <v>0.62827299999999997</v>
      </c>
      <c r="M20" s="10">
        <f>[1]!s_fa_debttoassets(M14,M13)/100</f>
        <v>0.72785900000000003</v>
      </c>
      <c r="N20" s="10">
        <f>[1]!s_fa_debttoassets(N14,N13)/100</f>
        <v>0.66788499999999995</v>
      </c>
      <c r="O20" s="10">
        <f>[1]!s_fa_debttoassets(O14,O13)/100</f>
        <v>0.50184099999999998</v>
      </c>
      <c r="P20" s="10">
        <f>[1]!s_fa_debttoassets(P14,P13)/100</f>
        <v>0.845634</v>
      </c>
      <c r="Q20" s="10">
        <f>[1]!s_fa_debttoassets(Q14,Q13)/100</f>
        <v>0.72492999999999996</v>
      </c>
      <c r="R20" s="10">
        <f>[1]!s_fa_debttoassets(R14,R13)/100</f>
        <v>0.57450800000000002</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0.4657</v>
      </c>
      <c r="K21" s="124"/>
      <c r="L21" s="68">
        <f>[1]!s_fa_current(L14,L13)</f>
        <v>0.48349999999999999</v>
      </c>
      <c r="M21" s="68">
        <f>[1]!s_fa_current(M14,M13)</f>
        <v>0.52280000000000004</v>
      </c>
      <c r="N21" s="68">
        <f>[1]!s_fa_current(N14,N13)</f>
        <v>0.64739999999999998</v>
      </c>
      <c r="O21" s="68">
        <f>[1]!s_fa_current(O14,O13)</f>
        <v>0.81669999999999998</v>
      </c>
      <c r="P21" s="68">
        <f>[1]!s_fa_current(P14,P13)</f>
        <v>0.92030000000000001</v>
      </c>
      <c r="Q21" s="68">
        <f>[1]!s_fa_current(Q14,Q13)</f>
        <v>0.61099999999999999</v>
      </c>
      <c r="R21" s="68">
        <f>[1]!s_fa_current(R14,R13)</f>
        <v>0.68020000000000003</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0.56688972546705141</v>
      </c>
      <c r="K22" s="124"/>
      <c r="L22" s="66">
        <f>(公式页!L96+公式页!L97+公式页!L98+公式页!L99+公式页!L100+公式页!L101)/公式页!L103</f>
        <v>1.2259962660615153</v>
      </c>
      <c r="M22" s="66">
        <f t="shared" ref="M22:R22" si="0">(M96+M97+M98+M99+M100+M101)/M103</f>
        <v>1.7199885286662151</v>
      </c>
      <c r="N22" s="66">
        <f t="shared" si="0"/>
        <v>1.1533185615187547</v>
      </c>
      <c r="O22" s="66">
        <f t="shared" si="0"/>
        <v>0.51720729120088604</v>
      </c>
      <c r="P22" s="66">
        <f t="shared" si="0"/>
        <v>3.2973052563923377</v>
      </c>
      <c r="Q22" s="66">
        <f t="shared" si="0"/>
        <v>1.7888291594712278</v>
      </c>
      <c r="R22" s="66">
        <f t="shared" si="0"/>
        <v>0.90272012342955932</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8.1000000000000003E-2</v>
      </c>
      <c r="K23" s="124"/>
      <c r="L23" s="68">
        <f>[1]!s_fa_ebitdatodebt(L14,L13)</f>
        <v>0.14180000000000001</v>
      </c>
      <c r="M23" s="68">
        <f>[1]!s_fa_ebitdatodebt(M14,M13)</f>
        <v>5.4899999999999997E-2</v>
      </c>
      <c r="N23" s="68">
        <f>[1]!s_fa_ebitdatodebt(N14,N13)</f>
        <v>0.16009999999999999</v>
      </c>
      <c r="O23" s="68">
        <f>[1]!s_fa_ebitdatodebt(O14,O13)</f>
        <v>0.26090000000000002</v>
      </c>
      <c r="P23" s="68">
        <f>[1]!s_fa_ebitdatodebt(P14,P13)</f>
        <v>7.0699999999999999E-2</v>
      </c>
      <c r="Q23" s="68">
        <f>[1]!s_fa_ebitdatodebt(Q14,Q13)</f>
        <v>8.3199999999999996E-2</v>
      </c>
      <c r="R23" s="68">
        <f>[1]!s_fa_ebitdatodebt(R14,R13)</f>
        <v>0.10199999999999999</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536.83731316030003</v>
      </c>
      <c r="K24" s="124"/>
      <c r="L24" s="68">
        <f>[1]!b_stm07_is(L14,9,L13,1)/100000000</f>
        <v>807.9057056222</v>
      </c>
      <c r="M24" s="68">
        <f>[1]!b_stm07_is(M14,9,M13,1)/100000000</f>
        <v>1856.8324350539001</v>
      </c>
      <c r="N24" s="68">
        <f>[1]!b_stm07_is(N14,9,N13,1)/100000000</f>
        <v>1024.5184233691</v>
      </c>
      <c r="O24" s="68">
        <f>[1]!b_stm07_is(O14,9,O13,1)/100000000</f>
        <v>2890.9290025928003</v>
      </c>
      <c r="P24" s="68">
        <f>[1]!b_stm07_is(P14,9,P13,1)/100000000</f>
        <v>1267.864224203</v>
      </c>
      <c r="Q24" s="68">
        <f>[1]!b_stm07_is(Q14,9,Q13,1)/100000000</f>
        <v>3051.221508349</v>
      </c>
      <c r="R24" s="68">
        <f>[1]!b_stm07_is(R14,9,R13,1)/100000000</f>
        <v>917.92183000649993</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0.79490000000000005</v>
      </c>
      <c r="K25" s="124"/>
      <c r="L25" s="11">
        <f>[1]!s_fa_salescashintoor(L14,L13)%</f>
        <v>1.1088</v>
      </c>
      <c r="M25" s="11">
        <f>[1]!s_fa_salescashintoor(M14,M13)%</f>
        <v>1.2434000000000001</v>
      </c>
      <c r="N25" s="11">
        <f>[1]!s_fa_salescashintoor(N14,N13)%</f>
        <v>1.0610999999999999</v>
      </c>
      <c r="O25" s="11">
        <f>[1]!s_fa_salescashintoor(O14,O13)%</f>
        <v>1.1039000000000001</v>
      </c>
      <c r="P25" s="11">
        <f>[1]!s_fa_salescashintoor(P14,P13)%</f>
        <v>0.78539999999999988</v>
      </c>
      <c r="Q25" s="11">
        <f>[1]!s_fa_salescashintoor(Q14,Q13)%</f>
        <v>1.0746</v>
      </c>
      <c r="R25" s="11">
        <f>[1]!s_fa_salescashintoor(R14,R13)%</f>
        <v>0.80969999999999998</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0.15515599999999999</v>
      </c>
      <c r="K26" s="124"/>
      <c r="L26" s="11">
        <f>[1]!s_fa_grossprofitmargin(L14,L13)%</f>
        <v>0.19234600000000002</v>
      </c>
      <c r="M26" s="11">
        <f>[1]!s_fa_grossprofitmargin(M14,M13)%</f>
        <v>0.10722899999999999</v>
      </c>
      <c r="N26" s="11">
        <f>[1]!s_fa_grossprofitmargin(N14,N13)%</f>
        <v>0.130409</v>
      </c>
      <c r="O26" s="11">
        <f>[1]!s_fa_grossprofitmargin(O14,O13)%</f>
        <v>0.14067399999999999</v>
      </c>
      <c r="P26" s="11">
        <f>[1]!s_fa_grossprofitmargin(P14,P13)%</f>
        <v>0.15187699999999998</v>
      </c>
      <c r="Q26" s="11">
        <f>[1]!s_fa_grossprofitmargin(Q14,Q13)%</f>
        <v>0.105863</v>
      </c>
      <c r="R26" s="11">
        <f>[1]!s_fa_grossprofitmargin(R14,R13)%</f>
        <v>0.197625</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20.5090070107</v>
      </c>
      <c r="K27" s="124"/>
      <c r="L27" s="69">
        <f>[1]!b_stm07_is(L14,60,L13,1)/100000000</f>
        <v>40.5231895999</v>
      </c>
      <c r="M27" s="69">
        <f>[1]!b_stm07_is(M14,60,M13,1)/100000000</f>
        <v>6.6696537751999996</v>
      </c>
      <c r="N27" s="69">
        <f>[1]!b_stm07_is(N14,60,N13,1)/100000000</f>
        <v>48.907486246600001</v>
      </c>
      <c r="O27" s="69">
        <f>[1]!b_stm07_is(O14,60,O13,1)/100000000</f>
        <v>204.03137217049999</v>
      </c>
      <c r="P27" s="69">
        <f>[1]!b_stm07_is(P14,60,P13,1)/100000000</f>
        <v>17.569886848199999</v>
      </c>
      <c r="Q27" s="69">
        <f>[1]!b_stm07_is(Q14,60,Q13,1)/100000000</f>
        <v>13.574162700599999</v>
      </c>
      <c r="R27" s="69">
        <f>[1]!b_stm07_is(R14,60,R13,1)/100000000</f>
        <v>42.491775605299999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4.2689000000000005E-2</v>
      </c>
      <c r="K28" s="124"/>
      <c r="L28" s="10">
        <f>[1]!s_fa_roe(L14,L13)%</f>
        <v>7.8085000000000002E-2</v>
      </c>
      <c r="M28" s="10">
        <f>[1]!s_fa_roe(M14,M13)%</f>
        <v>5.1999999999999997E-5</v>
      </c>
      <c r="N28" s="10">
        <f>[1]!s_fa_roe(N14,N13)%</f>
        <v>0.14029999999999998</v>
      </c>
      <c r="O28" s="10">
        <f>[1]!s_fa_roe(O14,O13)%</f>
        <v>0.13419999999999999</v>
      </c>
      <c r="P28" s="10">
        <f>[1]!s_fa_roe(P14,P13)%</f>
        <v>-0.20145199999999999</v>
      </c>
      <c r="Q28" s="10">
        <f>[1]!s_fa_roe(Q14,Q13)%</f>
        <v>-1.4678E-2</v>
      </c>
      <c r="R28" s="10">
        <f>[1]!s_fa_roe(R14,R13)%</f>
        <v>3.2962999999999999E-2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73.2896810413</v>
      </c>
      <c r="K29" s="124"/>
      <c r="L29" s="69">
        <f>[1]!b_stm07_cs(L14,39,L13,1)/100000000</f>
        <v>136.25089499889998</v>
      </c>
      <c r="M29" s="69">
        <f>[1]!b_stm07_cs(M14,39,M13,1)/100000000</f>
        <v>53.4821754297</v>
      </c>
      <c r="N29" s="69">
        <f>[1]!b_stm07_cs(N14,39,N13,1)/100000000</f>
        <v>53.171379832200003</v>
      </c>
      <c r="O29" s="69">
        <f>[1]!b_stm07_cs(O14,39,O13,1)/100000000</f>
        <v>330.77273594370001</v>
      </c>
      <c r="P29" s="69">
        <f>[1]!b_stm07_cs(P14,39,P13,1)/100000000</f>
        <v>-31.9321276957</v>
      </c>
      <c r="Q29" s="69">
        <f>[1]!b_stm07_cs(Q14,39,Q13,1)/100000000</f>
        <v>167.94488826439999</v>
      </c>
      <c r="R29" s="69">
        <f>[1]!b_stm07_cs(R14,39,R13,1)/100000000</f>
        <v>64.958955541099996</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14049951751.25</v>
      </c>
      <c r="K96" s="71"/>
      <c r="L96" s="71">
        <f>[1]!b_stm07_bs(L14,75,L13,1)</f>
        <v>24194578652.389999</v>
      </c>
      <c r="M96" s="71">
        <f>[1]!b_stm07_bs(M14,75,M13,1)</f>
        <v>89534687124.149994</v>
      </c>
      <c r="N96" s="71">
        <f>[1]!b_stm07_bs(N14,75,N13,1)</f>
        <v>28911904927.950001</v>
      </c>
      <c r="O96" s="71">
        <f>[1]!b_stm07_bs(O14,75,O13,1)</f>
        <v>60282446151.019997</v>
      </c>
      <c r="P96" s="71">
        <f>[1]!b_stm07_bs(P14,75,P13,1)</f>
        <v>32620112134.400002</v>
      </c>
      <c r="Q96" s="71">
        <f>[1]!b_stm07_bs(Q14,75,Q13,1)</f>
        <v>90985458336.399994</v>
      </c>
      <c r="R96" s="71">
        <f>[1]!b_stm07_bs(R14,75,R13,1)</f>
        <v>56296044939.800003</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235191629.11000001</v>
      </c>
      <c r="K97" s="71"/>
      <c r="L97" s="71">
        <f>[1]!b_stm07_bs(L14,82,L13,1)</f>
        <v>566829734.35000002</v>
      </c>
      <c r="M97" s="71">
        <f>[1]!b_stm07_bs(M14,82,M13,1)</f>
        <v>1583810605.7</v>
      </c>
      <c r="N97" s="71">
        <f>[1]!b_stm07_bs(N14,82,N13,1)</f>
        <v>473869664.47000003</v>
      </c>
      <c r="O97" s="71">
        <f>[1]!b_stm07_bs(O14,82,O13,1)</f>
        <v>582058272.26999998</v>
      </c>
      <c r="P97" s="71">
        <f>[1]!b_stm07_bs(P14,82,P13,1)</f>
        <v>2076743418.8</v>
      </c>
      <c r="Q97" s="71">
        <f>[1]!b_stm07_bs(Q14,82,Q13,1)</f>
        <v>1773347316.5999999</v>
      </c>
      <c r="R97" s="71">
        <f>[1]!b_stm07_bs(R14,82,R13,1)</f>
        <v>478344468.19999999</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8515440947.4899998</v>
      </c>
      <c r="K98" s="71"/>
      <c r="L98" s="71">
        <f>[1]!b_stm07_bs(L14,88,L13,1)</f>
        <v>15992988205.35</v>
      </c>
      <c r="M98" s="71">
        <f>[1]!b_stm07_bs(M14,88,M13,1)</f>
        <v>33322966646.02</v>
      </c>
      <c r="N98" s="71">
        <f>[1]!b_stm07_bs(N14,88,N13,1)</f>
        <v>4107723420.4400001</v>
      </c>
      <c r="O98" s="71">
        <f>[1]!b_stm07_bs(O14,88,O13,1)</f>
        <v>20407281386.07</v>
      </c>
      <c r="P98" s="71">
        <f>[1]!b_stm07_bs(P14,88,P13,1)</f>
        <v>31458330726</v>
      </c>
      <c r="Q98" s="71">
        <f>[1]!b_stm07_bs(Q14,88,Q13,1)</f>
        <v>5539264437.6700001</v>
      </c>
      <c r="R98" s="71">
        <f>[1]!b_stm07_bs(R14,88,R13,1)</f>
        <v>9592090340.0499992</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3281500000.4499998</v>
      </c>
      <c r="K100" s="71"/>
      <c r="L100" s="71">
        <f>[1]!b_stm07_bs(L14,94,L13,1)</f>
        <v>14730341525.66</v>
      </c>
      <c r="M100" s="71">
        <f>[1]!b_stm07_bs(M14,94,M13,1)</f>
        <v>65380412317.330002</v>
      </c>
      <c r="N100" s="71">
        <f>[1]!b_stm07_bs(N14,94,N13,1)</f>
        <v>6278134825.3900003</v>
      </c>
      <c r="O100" s="71">
        <f>[1]!b_stm07_bs(O14,94,O13,1)</f>
        <v>413368004.27999997</v>
      </c>
      <c r="P100" s="71">
        <f>[1]!b_stm07_bs(P14,94,P13,1)</f>
        <v>30959628632.68</v>
      </c>
      <c r="Q100" s="71">
        <f>[1]!b_stm07_bs(Q14,94,Q13,1)</f>
        <v>33008245276.41</v>
      </c>
      <c r="R100" s="71">
        <f>[1]!b_stm07_bs(R14,94,R13,1)</f>
        <v>14521566363</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2000000000</v>
      </c>
      <c r="K101" s="71"/>
      <c r="L101" s="71">
        <f>[1]!b_stm07_bs(L14,95,L13,1)</f>
        <v>5000000000</v>
      </c>
      <c r="M101" s="71">
        <f>[1]!b_stm07_bs(M14,95,M13,1)</f>
        <v>44752814191.18</v>
      </c>
      <c r="N101" s="71">
        <f>[1]!b_stm07_bs(N14,95,N13,1)</f>
        <v>5086567360</v>
      </c>
      <c r="O101" s="71">
        <f>[1]!b_stm07_bs(O14,95,O13,1)</f>
        <v>8553245927.3900003</v>
      </c>
      <c r="P101" s="71">
        <f>[1]!b_stm07_bs(P14,95,P13,1)</f>
        <v>54898329258.620003</v>
      </c>
      <c r="Q101" s="71">
        <f>[1]!b_stm07_bs(Q14,95,Q13,1)</f>
        <v>53796010040.949997</v>
      </c>
      <c r="R101" s="71">
        <f>[1]!b_stm07_bs(R14,95,R13,1)</f>
        <v>5986403991.0799999</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49537119948.970001</v>
      </c>
      <c r="K103" s="71"/>
      <c r="L103" s="71">
        <f>[1]!b_stm07_bs(L14,141,L13,1)</f>
        <v>49335173191.07</v>
      </c>
      <c r="M103" s="71">
        <f>[1]!b_stm07_bs(M14,141,M13,1)</f>
        <v>136381543815.46001</v>
      </c>
      <c r="N103" s="71">
        <f>[1]!b_stm07_bs(N14,141,N13,1)</f>
        <v>38894891398.589996</v>
      </c>
      <c r="O103" s="71">
        <f>[1]!b_stm07_bs(O14,141,O13,1)</f>
        <v>174472404539.20999</v>
      </c>
      <c r="P103" s="71">
        <f>[1]!b_stm07_bs(P14,141,P13,1)</f>
        <v>46102235719.849998</v>
      </c>
      <c r="Q103" s="71">
        <f>[1]!b_stm07_bs(Q14,141,Q13,1)</f>
        <v>103476804605.95</v>
      </c>
      <c r="R103" s="71">
        <f>[1]!b_stm07_bs(R14,141,R13,1)</f>
        <v>96236306079.100006</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q19041616.IB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0.66219099999999997</v>
      </c>
      <c r="C109" s="54" t="s">
        <v>36</v>
      </c>
      <c r="D109" s="72">
        <f>[1]!s_fa_current(A2,B2)</f>
        <v>0.4657</v>
      </c>
      <c r="E109" s="54" t="s">
        <v>41</v>
      </c>
      <c r="F109" s="73">
        <f>[1]!s_fa_salescashintoor(A2,B2)/100</f>
        <v>0.79490000000000005</v>
      </c>
      <c r="G109" s="54" t="s">
        <v>42</v>
      </c>
      <c r="H109" s="12">
        <f>S109/100</f>
        <v>0.15515599999999999</v>
      </c>
      <c r="I109" s="54"/>
      <c r="J109" s="16"/>
      <c r="K109" s="25"/>
      <c r="L109" s="34" t="s">
        <v>61</v>
      </c>
      <c r="M109" s="74">
        <f>[1]!s_fa_debttoassets(A2,B2)</f>
        <v>66.219099999999997</v>
      </c>
      <c r="N109" s="54" t="s">
        <v>36</v>
      </c>
      <c r="O109" s="35"/>
      <c r="P109" s="54" t="s">
        <v>41</v>
      </c>
      <c r="Q109" s="35"/>
      <c r="R109" s="54" t="s">
        <v>42</v>
      </c>
      <c r="S109" s="75">
        <f>[1]!s_fa_grossprofitmargin(A2,B2)</f>
        <v>15.515599999999999</v>
      </c>
    </row>
    <row r="110" spans="1:19" ht="15.75" customHeight="1" x14ac:dyDescent="0.25">
      <c r="A110" s="54" t="s">
        <v>62</v>
      </c>
      <c r="B110" s="12">
        <f>M110/100</f>
        <v>0.28229500000000002</v>
      </c>
      <c r="C110" s="54" t="s">
        <v>63</v>
      </c>
      <c r="D110" s="73">
        <f>[1]!s_fa_quick(A2,B2)</f>
        <v>0.24790000000000001</v>
      </c>
      <c r="E110" s="54" t="s">
        <v>64</v>
      </c>
      <c r="F110" s="72">
        <f>[1]!s_fa_arturn(A2,B2)</f>
        <v>23.129000000000001</v>
      </c>
      <c r="G110" s="54" t="s">
        <v>65</v>
      </c>
      <c r="H110" s="12">
        <f>S110/100</f>
        <v>5.2705000000000002E-2</v>
      </c>
      <c r="I110" s="54"/>
      <c r="J110" s="16"/>
      <c r="L110" s="54" t="s">
        <v>62</v>
      </c>
      <c r="M110" s="74">
        <f>[1]!s_fa_catoassets(A2,B2)</f>
        <v>28.229500000000002</v>
      </c>
      <c r="N110" s="54" t="s">
        <v>63</v>
      </c>
      <c r="O110" s="35"/>
      <c r="P110" s="54" t="s">
        <v>64</v>
      </c>
      <c r="Q110" s="73"/>
      <c r="R110" s="54" t="s">
        <v>65</v>
      </c>
      <c r="S110" s="75">
        <f>[1]!s_fa_optogr(A2,B2)</f>
        <v>5.2705000000000002</v>
      </c>
    </row>
    <row r="111" spans="1:19" ht="15" customHeight="1" x14ac:dyDescent="0.25">
      <c r="A111" s="54" t="s">
        <v>66</v>
      </c>
      <c r="B111" s="12">
        <f>M111/100</f>
        <v>0.91531499999999999</v>
      </c>
      <c r="C111" s="54" t="s">
        <v>39</v>
      </c>
      <c r="D111" s="73">
        <f>[1]!s_fa_ebitdatodebt(A2,B2)</f>
        <v>8.1000000000000003E-2</v>
      </c>
      <c r="E111" s="54" t="s">
        <v>67</v>
      </c>
      <c r="F111" s="72">
        <f>[1]!s_fa_invturn(A2,B2)</f>
        <v>2.6474000000000002</v>
      </c>
      <c r="G111" s="54" t="s">
        <v>45</v>
      </c>
      <c r="H111" s="12">
        <f>S111/100</f>
        <v>4.2689000000000005E-2</v>
      </c>
      <c r="I111" s="54"/>
      <c r="J111" s="16"/>
      <c r="L111" s="54" t="s">
        <v>66</v>
      </c>
      <c r="M111" s="74">
        <f>[1]!s_fa_currentdebttodebt(A2,B2)</f>
        <v>91.531499999999994</v>
      </c>
      <c r="N111" s="54" t="s">
        <v>39</v>
      </c>
      <c r="O111" s="35"/>
      <c r="P111" s="54" t="s">
        <v>67</v>
      </c>
      <c r="Q111" s="35"/>
      <c r="R111" s="54" t="s">
        <v>45</v>
      </c>
      <c r="S111" s="75">
        <f>[1]!s_fa_roe(A2,B2)</f>
        <v>4.2689000000000004</v>
      </c>
    </row>
    <row r="112" spans="1:19" ht="14.25" customHeight="1" x14ac:dyDescent="0.25">
      <c r="A112" s="54" t="s">
        <v>38</v>
      </c>
      <c r="B112" s="76">
        <f>(M116+M117+M118+M119+M120+M121)/M123</f>
        <v>0.56688972546705141</v>
      </c>
      <c r="C112" s="54" t="s">
        <v>68</v>
      </c>
      <c r="D112" s="73">
        <f>[1]!s_fa_ebittointerest(A2,B2)</f>
        <v>2.4336000000000002</v>
      </c>
      <c r="E112" s="54" t="s">
        <v>69</v>
      </c>
      <c r="F112" s="72">
        <f>[1]!s_fa_caturn(A2,B2)</f>
        <v>1.4458</v>
      </c>
      <c r="G112" s="54" t="s">
        <v>70</v>
      </c>
      <c r="H112" s="12">
        <f>S112/100</f>
        <v>3.0844E-2</v>
      </c>
      <c r="I112" s="54"/>
      <c r="J112" s="16"/>
      <c r="L112" s="54" t="s">
        <v>38</v>
      </c>
      <c r="M112" s="77"/>
      <c r="N112" s="54" t="s">
        <v>68</v>
      </c>
      <c r="O112" s="35"/>
      <c r="P112" s="54" t="s">
        <v>69</v>
      </c>
      <c r="Q112" s="35"/>
      <c r="R112" s="54" t="s">
        <v>70</v>
      </c>
      <c r="S112" s="75">
        <f>[1]!s_fa_roa2(A2,B2)</f>
        <v>3.0844</v>
      </c>
    </row>
    <row r="113" spans="1:21" x14ac:dyDescent="0.25">
      <c r="A113" s="30"/>
      <c r="B113" s="31"/>
      <c r="C113" s="30"/>
      <c r="D113" s="32"/>
      <c r="E113" s="30" t="s">
        <v>71</v>
      </c>
      <c r="F113" s="78">
        <f>[1]!s_fa_dupont_faturnover(A2,B2)</f>
        <v>0.37269999999999998</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14049951751.25</v>
      </c>
    </row>
    <row r="117" spans="1:21" ht="14.25" customHeight="1" x14ac:dyDescent="0.25">
      <c r="A117" s="54" t="s">
        <v>77</v>
      </c>
      <c r="B117" s="73">
        <f t="shared" ref="B117:B131" si="1">M127/100000000</f>
        <v>116.66166701290001</v>
      </c>
      <c r="C117" s="54" t="s">
        <v>78</v>
      </c>
      <c r="D117" s="76">
        <f t="shared" ref="D117:D125" si="2">O127/100000000</f>
        <v>536.83731316030003</v>
      </c>
      <c r="E117" s="131" t="s">
        <v>79</v>
      </c>
      <c r="F117" s="124"/>
      <c r="G117" s="124"/>
      <c r="H117" s="132">
        <f t="shared" ref="H117:H131" si="3">S127/100000000</f>
        <v>426.71559089900001</v>
      </c>
      <c r="I117" s="124"/>
      <c r="J117" s="124"/>
      <c r="L117" s="17" t="s">
        <v>48</v>
      </c>
      <c r="M117" s="71">
        <f>[1]!b_stm07_bs(K107,82,L107,1)</f>
        <v>235191629.11000001</v>
      </c>
    </row>
    <row r="118" spans="1:21" ht="14.25" customHeight="1" x14ac:dyDescent="0.25">
      <c r="A118" s="54" t="s">
        <v>80</v>
      </c>
      <c r="B118" s="73">
        <f t="shared" si="1"/>
        <v>30.848513608200001</v>
      </c>
      <c r="C118" s="54" t="s">
        <v>81</v>
      </c>
      <c r="D118" s="76">
        <f t="shared" si="2"/>
        <v>506.84778870389999</v>
      </c>
      <c r="E118" s="131" t="s">
        <v>82</v>
      </c>
      <c r="F118" s="124"/>
      <c r="G118" s="124"/>
      <c r="H118" s="132">
        <f t="shared" si="3"/>
        <v>4.0417349837999996</v>
      </c>
      <c r="I118" s="124"/>
      <c r="J118" s="124"/>
      <c r="L118" s="17" t="s">
        <v>49</v>
      </c>
      <c r="M118" s="71">
        <f>[1]!b_stm07_bs(K107,88,L107,1)</f>
        <v>8515440947.4899998</v>
      </c>
    </row>
    <row r="119" spans="1:21" ht="14.25" customHeight="1" x14ac:dyDescent="0.25">
      <c r="A119" s="54" t="s">
        <v>83</v>
      </c>
      <c r="B119" s="73">
        <f t="shared" si="1"/>
        <v>4.7570847020000002</v>
      </c>
      <c r="C119" s="54" t="s">
        <v>84</v>
      </c>
      <c r="D119" s="76">
        <f t="shared" si="2"/>
        <v>453.54392808690005</v>
      </c>
      <c r="E119" s="131" t="s">
        <v>85</v>
      </c>
      <c r="F119" s="124"/>
      <c r="G119" s="124"/>
      <c r="H119" s="133">
        <f t="shared" si="3"/>
        <v>436.85121793680003</v>
      </c>
      <c r="I119" s="124"/>
      <c r="J119" s="124"/>
      <c r="L119" s="17" t="s">
        <v>50</v>
      </c>
      <c r="M119" s="71">
        <f>[1]!b_stm07_bs(K107,147,L107,1)</f>
        <v>0</v>
      </c>
    </row>
    <row r="120" spans="1:21" ht="14.25" customHeight="1" x14ac:dyDescent="0.25">
      <c r="A120" s="54" t="s">
        <v>86</v>
      </c>
      <c r="B120" s="73">
        <f t="shared" si="1"/>
        <v>715.42101556220007</v>
      </c>
      <c r="C120" s="54" t="s">
        <v>87</v>
      </c>
      <c r="D120" s="76">
        <f t="shared" si="2"/>
        <v>21.8087000033</v>
      </c>
      <c r="E120" s="131" t="s">
        <v>88</v>
      </c>
      <c r="F120" s="124"/>
      <c r="G120" s="124"/>
      <c r="H120" s="132">
        <f t="shared" si="3"/>
        <v>317.09051195439997</v>
      </c>
      <c r="I120" s="124"/>
      <c r="J120" s="124"/>
      <c r="L120" s="17" t="s">
        <v>51</v>
      </c>
      <c r="M120" s="71">
        <f>[1]!b_stm07_bs(K107,94,L107,1)</f>
        <v>3281500000.4499998</v>
      </c>
    </row>
    <row r="121" spans="1:21" ht="14.25" customHeight="1" x14ac:dyDescent="0.25">
      <c r="A121" s="54" t="s">
        <v>89</v>
      </c>
      <c r="B121" s="73">
        <f t="shared" si="1"/>
        <v>5.6931924862000001</v>
      </c>
      <c r="C121" s="54" t="s">
        <v>90</v>
      </c>
      <c r="D121" s="76">
        <f t="shared" si="2"/>
        <v>10.4304093957</v>
      </c>
      <c r="E121" s="131" t="s">
        <v>91</v>
      </c>
      <c r="F121" s="124"/>
      <c r="G121" s="124"/>
      <c r="H121" s="132">
        <f t="shared" si="3"/>
        <v>5.5044028901999997</v>
      </c>
      <c r="I121" s="124"/>
      <c r="J121" s="124"/>
      <c r="L121" s="17" t="s">
        <v>52</v>
      </c>
      <c r="M121" s="71">
        <f>[1]!b_stm07_bs(K107,95,L107,1)</f>
        <v>2000000000</v>
      </c>
    </row>
    <row r="122" spans="1:21" ht="14.25" customHeight="1" x14ac:dyDescent="0.25">
      <c r="A122" s="54" t="s">
        <v>92</v>
      </c>
      <c r="B122" s="73">
        <f t="shared" si="1"/>
        <v>18.124091399000001</v>
      </c>
      <c r="C122" s="54" t="s">
        <v>93</v>
      </c>
      <c r="D122" s="76">
        <f t="shared" si="2"/>
        <v>16.7836904049</v>
      </c>
      <c r="E122" s="131" t="s">
        <v>94</v>
      </c>
      <c r="F122" s="124"/>
      <c r="G122" s="124"/>
      <c r="H122" s="133">
        <f t="shared" si="3"/>
        <v>363.56153689550001</v>
      </c>
      <c r="I122" s="124"/>
      <c r="J122" s="124"/>
      <c r="L122" s="17"/>
      <c r="M122" s="17"/>
    </row>
    <row r="123" spans="1:21" ht="14.25" customHeight="1" x14ac:dyDescent="0.25">
      <c r="A123" s="54" t="s">
        <v>95</v>
      </c>
      <c r="B123" s="79">
        <f t="shared" si="1"/>
        <v>1466.4246483431</v>
      </c>
      <c r="C123" s="54" t="s">
        <v>96</v>
      </c>
      <c r="D123" s="76">
        <f t="shared" si="2"/>
        <v>28.293779449599999</v>
      </c>
      <c r="E123" s="131" t="s">
        <v>97</v>
      </c>
      <c r="F123" s="124"/>
      <c r="G123" s="124"/>
      <c r="H123" s="133">
        <f t="shared" si="3"/>
        <v>73.2896810413</v>
      </c>
      <c r="I123" s="124"/>
      <c r="J123" s="124"/>
      <c r="L123" s="17" t="s">
        <v>53</v>
      </c>
      <c r="M123" s="71">
        <f>[1]!b_stm07_bs(K107,141,L107,1)</f>
        <v>49537119948.970001</v>
      </c>
    </row>
    <row r="124" spans="1:21" ht="14.25" customHeight="1" x14ac:dyDescent="0.25">
      <c r="A124" s="54" t="s">
        <v>98</v>
      </c>
      <c r="B124" s="73">
        <f t="shared" si="1"/>
        <v>140.49951751250001</v>
      </c>
      <c r="C124" s="54" t="s">
        <v>99</v>
      </c>
      <c r="D124" s="76">
        <f t="shared" si="2"/>
        <v>28.264212369199999</v>
      </c>
      <c r="E124" s="131" t="s">
        <v>100</v>
      </c>
      <c r="F124" s="124"/>
      <c r="G124" s="124"/>
      <c r="H124" s="133">
        <f t="shared" si="3"/>
        <v>-7.2697992598000001</v>
      </c>
      <c r="I124" s="124"/>
      <c r="J124" s="124"/>
      <c r="L124" s="17"/>
      <c r="M124" s="17"/>
    </row>
    <row r="125" spans="1:21" ht="27" customHeight="1" x14ac:dyDescent="0.25">
      <c r="A125" s="54" t="s">
        <v>101</v>
      </c>
      <c r="B125" s="73">
        <f t="shared" si="1"/>
        <v>85.154409474899992</v>
      </c>
      <c r="C125" s="54" t="s">
        <v>43</v>
      </c>
      <c r="D125" s="76">
        <f t="shared" si="2"/>
        <v>20.5090070107</v>
      </c>
      <c r="E125" s="131" t="s">
        <v>102</v>
      </c>
      <c r="F125" s="124"/>
      <c r="G125" s="124"/>
      <c r="H125" s="132">
        <f t="shared" si="3"/>
        <v>4.9000000000000002E-2</v>
      </c>
      <c r="I125" s="124"/>
      <c r="J125" s="124"/>
      <c r="L125" s="17"/>
      <c r="M125" s="17"/>
    </row>
    <row r="126" spans="1:21" ht="16.5" customHeight="1" x14ac:dyDescent="0.25">
      <c r="A126" s="54" t="s">
        <v>103</v>
      </c>
      <c r="B126" s="73">
        <f t="shared" si="1"/>
        <v>0</v>
      </c>
      <c r="C126" s="54"/>
      <c r="D126" s="80"/>
      <c r="E126" s="131" t="s">
        <v>104</v>
      </c>
      <c r="F126" s="124"/>
      <c r="G126" s="124"/>
      <c r="H126" s="132">
        <f t="shared" si="3"/>
        <v>206.79507219999999</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32.8150000045</v>
      </c>
      <c r="C127" s="54"/>
      <c r="D127" s="80"/>
      <c r="E127" s="131" t="s">
        <v>106</v>
      </c>
      <c r="F127" s="124"/>
      <c r="G127" s="124"/>
      <c r="H127" s="132">
        <f t="shared" si="3"/>
        <v>0</v>
      </c>
      <c r="I127" s="124"/>
      <c r="J127" s="124"/>
      <c r="L127" s="54" t="s">
        <v>77</v>
      </c>
      <c r="M127" s="75">
        <f>[1]!b_stm07_bs(K107,9,L107,1)</f>
        <v>11666166701.290001</v>
      </c>
      <c r="N127" s="54" t="s">
        <v>78</v>
      </c>
      <c r="O127" s="75">
        <f>[1]!b_stm07_is(K107,83,L107,1)</f>
        <v>53683731316.029999</v>
      </c>
      <c r="P127" s="131" t="s">
        <v>79</v>
      </c>
      <c r="Q127" s="124"/>
      <c r="R127" s="124"/>
      <c r="S127" s="136">
        <f>[1]!b_stm07_cs(K107,9,L107,1)</f>
        <v>42671559089.900002</v>
      </c>
      <c r="T127" s="135"/>
      <c r="U127" s="135"/>
    </row>
    <row r="128" spans="1:21" ht="14.25" customHeight="1" x14ac:dyDescent="0.25">
      <c r="A128" s="54" t="s">
        <v>107</v>
      </c>
      <c r="B128" s="73">
        <f t="shared" si="1"/>
        <v>20</v>
      </c>
      <c r="C128" s="54"/>
      <c r="D128" s="80"/>
      <c r="E128" s="131" t="s">
        <v>108</v>
      </c>
      <c r="F128" s="124"/>
      <c r="G128" s="124"/>
      <c r="H128" s="133">
        <f t="shared" si="3"/>
        <v>355.70872011900002</v>
      </c>
      <c r="I128" s="124"/>
      <c r="J128" s="124"/>
      <c r="L128" s="54" t="s">
        <v>80</v>
      </c>
      <c r="M128" s="75">
        <f>[1]!b_stm07_bs(K107,12,L107,1)</f>
        <v>3084851360.8200002</v>
      </c>
      <c r="N128" s="54" t="s">
        <v>81</v>
      </c>
      <c r="O128" s="75">
        <f>[1]!b_stm07_is(K107,84,L107,1)</f>
        <v>50684778870.389999</v>
      </c>
      <c r="P128" s="131" t="s">
        <v>82</v>
      </c>
      <c r="Q128" s="124"/>
      <c r="R128" s="124"/>
      <c r="S128" s="136">
        <f>[1]!b_stm07_cs(K107,11,L107,1)</f>
        <v>404173498.38</v>
      </c>
      <c r="T128" s="135"/>
      <c r="U128" s="135"/>
    </row>
    <row r="129" spans="1:21" ht="14.25" customHeight="1" x14ac:dyDescent="0.25">
      <c r="A129" s="54" t="s">
        <v>109</v>
      </c>
      <c r="B129" s="79">
        <f t="shared" si="1"/>
        <v>971.05344885339991</v>
      </c>
      <c r="C129" s="14"/>
      <c r="D129" s="13"/>
      <c r="E129" s="131" t="s">
        <v>110</v>
      </c>
      <c r="F129" s="124"/>
      <c r="G129" s="124"/>
      <c r="H129" s="132">
        <f t="shared" si="3"/>
        <v>215.83438666220002</v>
      </c>
      <c r="I129" s="124"/>
      <c r="J129" s="124"/>
      <c r="L129" s="54" t="s">
        <v>83</v>
      </c>
      <c r="M129" s="75">
        <f>[1]!b_stm07_bs(K107,13,L107,1)</f>
        <v>475708470.19999999</v>
      </c>
      <c r="N129" s="54" t="s">
        <v>84</v>
      </c>
      <c r="O129" s="75">
        <f>[1]!b_stm07_is(K107,10,L107,1)</f>
        <v>45354392808.690002</v>
      </c>
      <c r="P129" s="131" t="s">
        <v>85</v>
      </c>
      <c r="Q129" s="124"/>
      <c r="R129" s="124"/>
      <c r="S129" s="137">
        <f>[1]!b_stm07_cs(K107,25,L107,1)</f>
        <v>43685121793.68</v>
      </c>
      <c r="T129" s="135"/>
      <c r="U129" s="135"/>
    </row>
    <row r="130" spans="1:21" ht="14.25" customHeight="1" x14ac:dyDescent="0.25">
      <c r="A130" s="54" t="s">
        <v>111</v>
      </c>
      <c r="B130" s="79">
        <f t="shared" si="1"/>
        <v>495.37119948970002</v>
      </c>
      <c r="C130" s="14"/>
      <c r="D130" s="13"/>
      <c r="E130" s="131" t="s">
        <v>112</v>
      </c>
      <c r="F130" s="124"/>
      <c r="G130" s="124"/>
      <c r="H130" s="132">
        <f t="shared" si="3"/>
        <v>389.60103730519995</v>
      </c>
      <c r="I130" s="124"/>
      <c r="J130" s="124"/>
      <c r="L130" s="54" t="s">
        <v>86</v>
      </c>
      <c r="M130" s="75">
        <f>[1]!b_stm07_bs(K107,31,L107,1)</f>
        <v>71542101556.220001</v>
      </c>
      <c r="N130" s="54" t="s">
        <v>87</v>
      </c>
      <c r="O130" s="75">
        <f>[1]!b_stm07_is(K107,12,L107,1)</f>
        <v>2180870000.3299999</v>
      </c>
      <c r="P130" s="131" t="s">
        <v>88</v>
      </c>
      <c r="Q130" s="124"/>
      <c r="R130" s="124"/>
      <c r="S130" s="136">
        <f>[1]!b_stm07_cs(K107,26,L107,1)</f>
        <v>31709051195.439999</v>
      </c>
      <c r="T130" s="135"/>
      <c r="U130" s="135"/>
    </row>
    <row r="131" spans="1:21" ht="14.25" customHeight="1" x14ac:dyDescent="0.25">
      <c r="A131" s="15" t="s">
        <v>113</v>
      </c>
      <c r="B131" s="79">
        <f t="shared" si="1"/>
        <v>1466.4246483431</v>
      </c>
      <c r="C131" s="14"/>
      <c r="D131" s="13"/>
      <c r="E131" s="131" t="s">
        <v>114</v>
      </c>
      <c r="F131" s="124"/>
      <c r="G131" s="124"/>
      <c r="H131" s="133">
        <f t="shared" si="3"/>
        <v>-33.892317186199996</v>
      </c>
      <c r="I131" s="124"/>
      <c r="J131" s="124"/>
      <c r="L131" s="54" t="s">
        <v>89</v>
      </c>
      <c r="M131" s="75">
        <f>[1]!b_stm07_bs(K107,33,L107,1)</f>
        <v>569319248.62</v>
      </c>
      <c r="N131" s="54" t="s">
        <v>90</v>
      </c>
      <c r="O131" s="75">
        <f>[1]!b_stm07_is(K107,13,L107,1)</f>
        <v>1043040939.5700001</v>
      </c>
      <c r="P131" s="131" t="s">
        <v>91</v>
      </c>
      <c r="Q131" s="124"/>
      <c r="R131" s="124"/>
      <c r="S131" s="136">
        <f>[1]!b_stm07_cs(K107,29,L107,1)</f>
        <v>550440289.01999998</v>
      </c>
      <c r="T131" s="135"/>
      <c r="U131" s="135"/>
    </row>
    <row r="132" spans="1:21" x14ac:dyDescent="0.25">
      <c r="L132" s="54" t="s">
        <v>92</v>
      </c>
      <c r="M132" s="75">
        <f>[1]!b_stm07_bs(K107,37,L107,1)</f>
        <v>1812409139.9000001</v>
      </c>
      <c r="N132" s="54" t="s">
        <v>93</v>
      </c>
      <c r="O132" s="75">
        <f>[1]!b_stm07_is(K107,14,L107,1)</f>
        <v>1678369040.49</v>
      </c>
      <c r="P132" s="131" t="s">
        <v>94</v>
      </c>
      <c r="Q132" s="124"/>
      <c r="R132" s="124"/>
      <c r="S132" s="137">
        <f>[1]!b_stm07_cs(K107,37,L107,1)</f>
        <v>36356153689.550003</v>
      </c>
      <c r="T132" s="135"/>
      <c r="U132" s="135"/>
    </row>
    <row r="133" spans="1:21" x14ac:dyDescent="0.25">
      <c r="L133" s="54" t="s">
        <v>95</v>
      </c>
      <c r="M133" s="81">
        <f>[1]!b_stm07_bs(K107,74,L107,1)</f>
        <v>146642464834.31</v>
      </c>
      <c r="N133" s="54" t="s">
        <v>96</v>
      </c>
      <c r="O133" s="75">
        <f>[1]!b_stm07_is(K107,48,L107,1)</f>
        <v>2829377944.96</v>
      </c>
      <c r="P133" s="131" t="s">
        <v>97</v>
      </c>
      <c r="Q133" s="124"/>
      <c r="R133" s="124"/>
      <c r="S133" s="137">
        <f>[1]!b_stm07_cs(K107,39,L107,1)</f>
        <v>7328968104.1300001</v>
      </c>
      <c r="T133" s="135"/>
      <c r="U133" s="135"/>
    </row>
    <row r="134" spans="1:21" x14ac:dyDescent="0.25">
      <c r="L134" s="54" t="s">
        <v>98</v>
      </c>
      <c r="M134" s="75">
        <f>[1]!b_stm07_bs(K107,75,L107,1)</f>
        <v>14049951751.25</v>
      </c>
      <c r="N134" s="54" t="s">
        <v>99</v>
      </c>
      <c r="O134" s="75">
        <f>[1]!b_stm07_is(K107,55,L107,1)</f>
        <v>2826421236.9200001</v>
      </c>
      <c r="P134" s="131" t="s">
        <v>100</v>
      </c>
      <c r="Q134" s="124"/>
      <c r="R134" s="124"/>
      <c r="S134" s="137">
        <f>[1]!b_stm07_cs(K107,59,L107,1)</f>
        <v>-726979925.98000002</v>
      </c>
      <c r="T134" s="135"/>
      <c r="U134" s="135"/>
    </row>
    <row r="135" spans="1:21" ht="32.4" customHeight="1" x14ac:dyDescent="0.25">
      <c r="L135" s="54" t="s">
        <v>101</v>
      </c>
      <c r="M135" s="75">
        <f>[1]!b_stm07_bs(K107,88,L107,1)</f>
        <v>8515440947.4899998</v>
      </c>
      <c r="N135" s="54" t="s">
        <v>43</v>
      </c>
      <c r="O135" s="75">
        <f>[1]!b_stm07_is(K107,60,L107,1)</f>
        <v>2050900701.0699999</v>
      </c>
      <c r="P135" s="131" t="s">
        <v>102</v>
      </c>
      <c r="Q135" s="124"/>
      <c r="R135" s="124"/>
      <c r="S135" s="136">
        <f>[1]!b_stm07_cs(K107,60,L107,1)</f>
        <v>4900000</v>
      </c>
      <c r="T135" s="135"/>
      <c r="U135" s="135"/>
    </row>
    <row r="136" spans="1:21" ht="21.6" customHeight="1" x14ac:dyDescent="0.25">
      <c r="L136" s="54" t="s">
        <v>103</v>
      </c>
      <c r="M136" s="75">
        <f>[1]!b_stm07_bs(K107,147,L107,1)</f>
        <v>0</v>
      </c>
      <c r="N136" s="54"/>
      <c r="O136" s="80"/>
      <c r="P136" s="131" t="s">
        <v>104</v>
      </c>
      <c r="Q136" s="124"/>
      <c r="R136" s="124"/>
      <c r="S136" s="136">
        <f>[1]!b_stm07_cs(K107,61,L107,1)</f>
        <v>20679507220</v>
      </c>
      <c r="T136" s="135"/>
      <c r="U136" s="135"/>
    </row>
    <row r="137" spans="1:21" x14ac:dyDescent="0.25">
      <c r="L137" s="54" t="s">
        <v>105</v>
      </c>
      <c r="M137" s="75">
        <f>[1]!b_stm07_bs(K107,94,L107,1)</f>
        <v>3281500000.4499998</v>
      </c>
      <c r="N137" s="54"/>
      <c r="O137" s="80"/>
      <c r="P137" s="131" t="s">
        <v>106</v>
      </c>
      <c r="Q137" s="124"/>
      <c r="R137" s="124"/>
      <c r="S137" s="136">
        <f>[1]!b_stm07_cs(K107,63,L107,1)</f>
        <v>0</v>
      </c>
      <c r="T137" s="135"/>
      <c r="U137" s="135"/>
    </row>
    <row r="138" spans="1:21" x14ac:dyDescent="0.25">
      <c r="L138" s="54" t="s">
        <v>107</v>
      </c>
      <c r="M138" s="75">
        <f>[1]!b_stm07_bs(K107,95,L107,1)</f>
        <v>2000000000</v>
      </c>
      <c r="N138" s="54"/>
      <c r="O138" s="80"/>
      <c r="P138" s="131" t="s">
        <v>108</v>
      </c>
      <c r="Q138" s="124"/>
      <c r="R138" s="124"/>
      <c r="S138" s="137">
        <f>[1]!b_stm07_cs(K107,68,L107,1)</f>
        <v>35570872011.900002</v>
      </c>
      <c r="T138" s="135"/>
      <c r="U138" s="135"/>
    </row>
    <row r="139" spans="1:21" x14ac:dyDescent="0.25">
      <c r="L139" s="54" t="s">
        <v>109</v>
      </c>
      <c r="M139" s="81">
        <f>[1]!b_stm07_bs(K107,128,L107,1)</f>
        <v>97105344885.339996</v>
      </c>
      <c r="N139" s="14"/>
      <c r="O139" s="13"/>
      <c r="P139" s="131" t="s">
        <v>110</v>
      </c>
      <c r="Q139" s="124"/>
      <c r="R139" s="124"/>
      <c r="S139" s="136">
        <f>[1]!b_stm07_cs(K107,69,L107,1)</f>
        <v>21583438666.220001</v>
      </c>
      <c r="T139" s="135"/>
      <c r="U139" s="135"/>
    </row>
    <row r="140" spans="1:21" ht="21.6" customHeight="1" x14ac:dyDescent="0.25">
      <c r="L140" s="54" t="s">
        <v>111</v>
      </c>
      <c r="M140" s="81">
        <f>[1]!b_stm07_bs(K107,141,L107,1)</f>
        <v>49537119948.970001</v>
      </c>
      <c r="N140" s="14"/>
      <c r="O140" s="13"/>
      <c r="P140" s="131" t="s">
        <v>112</v>
      </c>
      <c r="Q140" s="124"/>
      <c r="R140" s="124"/>
      <c r="S140" s="136">
        <f>[1]!b_stm07_cs(K107,75,L107,1)</f>
        <v>38960103730.519997</v>
      </c>
      <c r="T140" s="135"/>
      <c r="U140" s="135"/>
    </row>
    <row r="141" spans="1:21" ht="21.6" customHeight="1" x14ac:dyDescent="0.25">
      <c r="L141" s="15" t="s">
        <v>113</v>
      </c>
      <c r="M141" s="81">
        <f>[1]!b_stm07_bs(K107,145,L107,1)</f>
        <v>146642464834.31</v>
      </c>
      <c r="N141" s="14"/>
      <c r="O141" s="13"/>
      <c r="P141" s="131" t="s">
        <v>114</v>
      </c>
      <c r="Q141" s="124"/>
      <c r="R141" s="124"/>
      <c r="S141" s="137">
        <f>[1]!b_stm07_cs(K107,77,L107,1)</f>
        <v>-3389231718.6199999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223</v>
      </c>
      <c r="C2" s="120"/>
      <c r="D2" s="57" t="s">
        <v>3</v>
      </c>
      <c r="E2" s="119" t="s">
        <v>267</v>
      </c>
      <c r="F2" s="120"/>
      <c r="G2" s="120"/>
    </row>
    <row r="3" spans="1:12" ht="14.25" customHeight="1" x14ac:dyDescent="0.25">
      <c r="A3" s="57" t="s">
        <v>4</v>
      </c>
      <c r="B3" s="119" t="s">
        <v>268</v>
      </c>
      <c r="C3" s="120"/>
      <c r="D3" s="57" t="s">
        <v>5</v>
      </c>
      <c r="E3" s="119" t="s">
        <v>269</v>
      </c>
      <c r="F3" s="120"/>
      <c r="G3" s="120"/>
    </row>
    <row r="4" spans="1:12" ht="113.25" customHeight="1" x14ac:dyDescent="0.25">
      <c r="A4" s="57" t="s">
        <v>6</v>
      </c>
      <c r="B4" s="121" t="s">
        <v>270</v>
      </c>
      <c r="C4" s="120"/>
      <c r="D4" s="120"/>
      <c r="E4" s="120"/>
      <c r="F4" s="120"/>
      <c r="G4" s="120"/>
    </row>
    <row r="5" spans="1:12" ht="14.4" x14ac:dyDescent="0.25">
      <c r="A5" s="82" t="s">
        <v>115</v>
      </c>
      <c r="B5" s="140" t="s">
        <v>271</v>
      </c>
      <c r="C5" s="120"/>
      <c r="D5" s="120"/>
      <c r="E5" s="120"/>
      <c r="F5" s="141">
        <v>0.54659999847412111</v>
      </c>
      <c r="G5" s="120"/>
    </row>
    <row r="6" spans="1:12" ht="11.25" customHeight="1" x14ac:dyDescent="0.25">
      <c r="A6" s="82" t="s">
        <v>116</v>
      </c>
      <c r="B6" s="140" t="s">
        <v>272</v>
      </c>
      <c r="C6" s="120"/>
      <c r="D6" s="120"/>
      <c r="E6" s="120"/>
      <c r="F6" s="141">
        <v>4.7800002098083494E-2</v>
      </c>
      <c r="G6" s="120"/>
    </row>
    <row r="7" spans="1:12" ht="11.25" customHeight="1" x14ac:dyDescent="0.25">
      <c r="A7" s="82" t="s">
        <v>117</v>
      </c>
      <c r="B7" s="140" t="s">
        <v>273</v>
      </c>
      <c r="C7" s="120"/>
      <c r="D7" s="120"/>
      <c r="E7" s="120"/>
      <c r="F7" s="141">
        <v>3.7499999999999999E-2</v>
      </c>
      <c r="G7" s="120"/>
    </row>
    <row r="8" spans="1:12" ht="11.25" customHeight="1" x14ac:dyDescent="0.25">
      <c r="A8" s="82" t="s">
        <v>118</v>
      </c>
      <c r="B8" s="140" t="s">
        <v>274</v>
      </c>
      <c r="C8" s="120"/>
      <c r="D8" s="120"/>
      <c r="E8" s="120"/>
      <c r="F8" s="141">
        <v>2.9000000953674318E-2</v>
      </c>
      <c r="G8" s="120"/>
    </row>
    <row r="9" spans="1:12" ht="11.25" customHeight="1" x14ac:dyDescent="0.25">
      <c r="A9" s="82" t="s">
        <v>119</v>
      </c>
      <c r="B9" s="140" t="s">
        <v>275</v>
      </c>
      <c r="C9" s="120"/>
      <c r="D9" s="120"/>
      <c r="E9" s="120"/>
      <c r="F9" s="141">
        <v>2.5299999713897705E-2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7</v>
      </c>
      <c r="E13" s="64">
        <v>4.4301369863013695</v>
      </c>
      <c r="F13" s="65">
        <v>0</v>
      </c>
      <c r="G13" s="64">
        <v>4.9400000000000004</v>
      </c>
    </row>
    <row r="14" spans="1:12" ht="14.4" customHeight="1" x14ac:dyDescent="0.25">
      <c r="A14" t="s">
        <v>124</v>
      </c>
      <c r="B14" t="s">
        <v>125</v>
      </c>
      <c r="C14" t="s">
        <v>126</v>
      </c>
      <c r="D14" s="64">
        <v>7.39</v>
      </c>
      <c r="E14" s="83">
        <v>4.2767123287671236</v>
      </c>
      <c r="F14">
        <v>0</v>
      </c>
      <c r="G14" s="64">
        <v>30</v>
      </c>
    </row>
    <row r="15" spans="1:12" ht="14.4" customHeight="1" x14ac:dyDescent="0.25">
      <c r="A15" t="s">
        <v>127</v>
      </c>
      <c r="B15" t="s">
        <v>128</v>
      </c>
      <c r="C15" t="s">
        <v>129</v>
      </c>
      <c r="D15" s="64">
        <v>7.4</v>
      </c>
      <c r="E15" s="83">
        <v>4.0931506849315067</v>
      </c>
      <c r="F15">
        <v>0</v>
      </c>
      <c r="G15" s="64">
        <v>15.06</v>
      </c>
    </row>
    <row r="16" spans="1:12" ht="14.4" customHeight="1" x14ac:dyDescent="0.25">
      <c r="A16" t="s">
        <v>130</v>
      </c>
      <c r="B16" t="s">
        <v>131</v>
      </c>
      <c r="C16" t="s">
        <v>132</v>
      </c>
      <c r="D16" s="64">
        <v>7.5</v>
      </c>
      <c r="E16" s="83">
        <v>2.0849315068493151</v>
      </c>
      <c r="F16">
        <v>0</v>
      </c>
      <c r="G16" s="64">
        <v>10</v>
      </c>
    </row>
    <row r="17" spans="1:7" ht="14.4" customHeight="1" x14ac:dyDescent="0.25">
      <c r="A17" t="s">
        <v>133</v>
      </c>
      <c r="B17" t="s">
        <v>134</v>
      </c>
      <c r="C17" t="s">
        <v>135</v>
      </c>
      <c r="D17" s="64">
        <v>3.9</v>
      </c>
      <c r="E17" s="83">
        <v>0</v>
      </c>
      <c r="F17" t="s">
        <v>276</v>
      </c>
      <c r="G17" s="64">
        <v>25</v>
      </c>
    </row>
    <row r="18" spans="1:7" ht="14.4" customHeight="1" x14ac:dyDescent="0.25">
      <c r="A18" t="s">
        <v>136</v>
      </c>
      <c r="B18" t="s">
        <v>137</v>
      </c>
      <c r="C18" t="s">
        <v>138</v>
      </c>
      <c r="D18" s="64">
        <v>4.75</v>
      </c>
      <c r="E18" s="83">
        <v>0</v>
      </c>
      <c r="F18" t="s">
        <v>182</v>
      </c>
      <c r="G18" s="64">
        <v>15</v>
      </c>
    </row>
    <row r="19" spans="1:7" ht="14.4" customHeight="1" x14ac:dyDescent="0.25">
      <c r="A19" t="s">
        <v>139</v>
      </c>
      <c r="B19" t="s">
        <v>140</v>
      </c>
      <c r="C19" t="s">
        <v>141</v>
      </c>
      <c r="D19" s="64">
        <v>4.9800000000000004</v>
      </c>
      <c r="E19" s="83">
        <v>0</v>
      </c>
      <c r="F19" t="s">
        <v>182</v>
      </c>
      <c r="G19" s="64">
        <v>15</v>
      </c>
    </row>
    <row r="20" spans="1:7" ht="14.4" customHeight="1" x14ac:dyDescent="0.25">
      <c r="A20" t="s">
        <v>142</v>
      </c>
      <c r="B20" t="s">
        <v>143</v>
      </c>
      <c r="C20" t="s">
        <v>144</v>
      </c>
      <c r="D20" s="64">
        <v>5.4</v>
      </c>
      <c r="E20" s="83">
        <v>0</v>
      </c>
      <c r="F20" t="s">
        <v>276</v>
      </c>
      <c r="G20" s="64">
        <v>25</v>
      </c>
    </row>
    <row r="21" spans="1:7" ht="14.4" customHeight="1" x14ac:dyDescent="0.25">
      <c r="A21" t="s">
        <v>145</v>
      </c>
      <c r="B21" t="s">
        <v>146</v>
      </c>
      <c r="C21" t="s">
        <v>147</v>
      </c>
      <c r="D21" s="64">
        <v>6.45</v>
      </c>
      <c r="E21" s="83">
        <v>0</v>
      </c>
      <c r="F21" t="s">
        <v>25</v>
      </c>
      <c r="G21" s="64">
        <v>30</v>
      </c>
    </row>
    <row r="22" spans="1:7" ht="14.4" customHeight="1" x14ac:dyDescent="0.25">
      <c r="A22" t="s">
        <v>148</v>
      </c>
      <c r="B22" t="s">
        <v>149</v>
      </c>
      <c r="C22" t="s">
        <v>150</v>
      </c>
      <c r="D22" s="64">
        <v>5.94</v>
      </c>
      <c r="E22" s="83">
        <v>0</v>
      </c>
      <c r="F22" t="s">
        <v>276</v>
      </c>
      <c r="G22" s="64">
        <v>25</v>
      </c>
    </row>
    <row r="23" spans="1:7" ht="14.4" customHeight="1" x14ac:dyDescent="0.25">
      <c r="A23" t="s">
        <v>151</v>
      </c>
      <c r="B23" t="s">
        <v>152</v>
      </c>
      <c r="C23" t="s">
        <v>153</v>
      </c>
      <c r="D23" s="64">
        <v>5.75</v>
      </c>
      <c r="E23" s="83">
        <v>6.575342465753424E-2</v>
      </c>
      <c r="F23" t="s">
        <v>25</v>
      </c>
      <c r="G23" s="64">
        <v>20</v>
      </c>
    </row>
    <row r="24" spans="1:7" ht="14.4" customHeight="1" x14ac:dyDescent="0.25">
      <c r="A24" t="s">
        <v>154</v>
      </c>
      <c r="B24" t="s">
        <v>155</v>
      </c>
      <c r="C24" t="s">
        <v>156</v>
      </c>
      <c r="D24" s="64">
        <v>6.27</v>
      </c>
      <c r="E24" s="83">
        <v>0</v>
      </c>
      <c r="F24" t="s">
        <v>182</v>
      </c>
      <c r="G24" s="64">
        <v>20</v>
      </c>
    </row>
    <row r="25" spans="1:7" ht="14.4" customHeight="1" x14ac:dyDescent="0.25">
      <c r="A25" t="s">
        <v>157</v>
      </c>
      <c r="B25" t="s">
        <v>158</v>
      </c>
      <c r="C25" t="s">
        <v>159</v>
      </c>
      <c r="D25" s="64">
        <v>4.95</v>
      </c>
      <c r="E25" s="83">
        <v>0</v>
      </c>
      <c r="F25" t="s">
        <v>182</v>
      </c>
      <c r="G25" s="64">
        <v>10</v>
      </c>
    </row>
    <row r="26" spans="1:7" ht="14.4" customHeight="1" x14ac:dyDescent="0.25">
      <c r="A26" t="s">
        <v>160</v>
      </c>
      <c r="B26" t="s">
        <v>161</v>
      </c>
      <c r="C26" t="s">
        <v>162</v>
      </c>
      <c r="D26" s="64">
        <v>5.22</v>
      </c>
      <c r="E26" s="83">
        <v>0</v>
      </c>
      <c r="F26" t="s">
        <v>276</v>
      </c>
      <c r="G26" s="64">
        <v>7</v>
      </c>
    </row>
    <row r="27" spans="1:7" ht="14.4" customHeight="1" x14ac:dyDescent="0.25">
      <c r="A27" t="s">
        <v>163</v>
      </c>
      <c r="B27" t="s">
        <v>164</v>
      </c>
      <c r="C27" t="s">
        <v>165</v>
      </c>
      <c r="D27" s="64">
        <v>5.72</v>
      </c>
      <c r="E27" s="83">
        <v>0</v>
      </c>
      <c r="F27" t="s">
        <v>276</v>
      </c>
      <c r="G27" s="64">
        <v>5</v>
      </c>
    </row>
    <row r="28" spans="1:7" ht="14.4" customHeight="1" x14ac:dyDescent="0.25">
      <c r="A28" t="s">
        <v>166</v>
      </c>
      <c r="B28" t="s">
        <v>167</v>
      </c>
      <c r="C28" t="s">
        <v>168</v>
      </c>
      <c r="D28" s="64">
        <v>5.0999999999999996</v>
      </c>
      <c r="E28" s="83">
        <v>0</v>
      </c>
      <c r="F28" t="s">
        <v>276</v>
      </c>
      <c r="G28" s="64">
        <v>8</v>
      </c>
    </row>
    <row r="29" spans="1:7" ht="14.4" customHeight="1" x14ac:dyDescent="0.25">
      <c r="A29" t="s">
        <v>169</v>
      </c>
      <c r="B29" t="s">
        <v>170</v>
      </c>
      <c r="C29" t="s">
        <v>171</v>
      </c>
      <c r="D29" s="64">
        <v>1.3</v>
      </c>
      <c r="E29" s="83">
        <v>0</v>
      </c>
      <c r="F29" t="s">
        <v>25</v>
      </c>
      <c r="G29" s="64">
        <v>18</v>
      </c>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1:7" ht="14.4" customHeight="1" x14ac:dyDescent="0.25">
      <c r="D33" s="64"/>
      <c r="E33" s="83"/>
      <c r="G33" s="64"/>
    </row>
    <row r="34" spans="1:7" ht="14.4" customHeight="1" x14ac:dyDescent="0.25">
      <c r="D34" s="64"/>
      <c r="E34" s="83"/>
      <c r="G34" s="64"/>
    </row>
    <row r="35" spans="1:7" ht="14.4" customHeight="1" x14ac:dyDescent="0.25">
      <c r="A35" s="143" t="s">
        <v>172</v>
      </c>
      <c r="B35" s="143"/>
      <c r="C35" s="143"/>
      <c r="D35" s="143"/>
      <c r="E35" s="83"/>
      <c r="G35" s="64"/>
    </row>
    <row r="36" spans="1:7" ht="14.4" customHeight="1" x14ac:dyDescent="0.25">
      <c r="A36" s="84" t="s">
        <v>173</v>
      </c>
      <c r="B36" s="84" t="s">
        <v>174</v>
      </c>
      <c r="C36" s="84" t="s">
        <v>175</v>
      </c>
      <c r="D36" s="85" t="s">
        <v>176</v>
      </c>
      <c r="E36" s="83"/>
      <c r="G36" s="64"/>
    </row>
    <row r="37" spans="1:7" ht="14.4" customHeight="1" x14ac:dyDescent="0.25">
      <c r="A37" t="s">
        <v>177</v>
      </c>
      <c r="B37" t="s">
        <v>25</v>
      </c>
      <c r="C37" t="s">
        <v>178</v>
      </c>
      <c r="D37" s="64" t="s">
        <v>179</v>
      </c>
      <c r="E37" s="83"/>
      <c r="G37" s="64"/>
    </row>
    <row r="38" spans="1:7" ht="14.4" customHeight="1" x14ac:dyDescent="0.25">
      <c r="A38" t="s">
        <v>180</v>
      </c>
      <c r="B38" t="s">
        <v>25</v>
      </c>
      <c r="C38" t="s">
        <v>178</v>
      </c>
      <c r="D38" s="64" t="s">
        <v>179</v>
      </c>
      <c r="E38" s="83"/>
      <c r="G38" s="64"/>
    </row>
    <row r="39" spans="1:7" ht="14.4" customHeight="1" x14ac:dyDescent="0.25">
      <c r="A39" t="s">
        <v>181</v>
      </c>
      <c r="B39" t="s">
        <v>182</v>
      </c>
      <c r="C39" t="s">
        <v>178</v>
      </c>
      <c r="D39" s="64" t="s">
        <v>179</v>
      </c>
      <c r="E39" s="83"/>
      <c r="G39" s="64"/>
    </row>
    <row r="40" spans="1:7" ht="14.4" customHeight="1" x14ac:dyDescent="0.25">
      <c r="A40" t="s">
        <v>183</v>
      </c>
      <c r="B40" t="s">
        <v>182</v>
      </c>
      <c r="C40" t="s">
        <v>178</v>
      </c>
      <c r="D40" s="64" t="s">
        <v>184</v>
      </c>
      <c r="E40" s="83"/>
      <c r="G40" s="64"/>
    </row>
    <row r="41" spans="1:7" ht="14.4" customHeight="1" x14ac:dyDescent="0.25">
      <c r="A41" t="s">
        <v>185</v>
      </c>
      <c r="B41" t="s">
        <v>182</v>
      </c>
      <c r="C41" t="s">
        <v>186</v>
      </c>
      <c r="D41" s="64" t="s">
        <v>179</v>
      </c>
      <c r="E41" s="83"/>
      <c r="G41" s="64"/>
    </row>
    <row r="42" spans="1:7" ht="14.4" customHeight="1" x14ac:dyDescent="0.25">
      <c r="A42" t="s">
        <v>187</v>
      </c>
      <c r="B42" t="s">
        <v>182</v>
      </c>
      <c r="C42" t="s">
        <v>178</v>
      </c>
      <c r="D42" s="64" t="s">
        <v>184</v>
      </c>
      <c r="E42" s="83"/>
      <c r="G42" s="64"/>
    </row>
    <row r="43" spans="1:7" ht="14.4" customHeight="1" x14ac:dyDescent="0.25">
      <c r="A43" t="s">
        <v>188</v>
      </c>
      <c r="B43" t="s">
        <v>182</v>
      </c>
      <c r="C43" t="s">
        <v>178</v>
      </c>
      <c r="D43" s="64" t="s">
        <v>179</v>
      </c>
      <c r="E43" s="83"/>
      <c r="G43" s="64"/>
    </row>
    <row r="44" spans="1:7" ht="14.4" customHeight="1" x14ac:dyDescent="0.25">
      <c r="A44" t="s">
        <v>189</v>
      </c>
      <c r="B44" t="s">
        <v>182</v>
      </c>
      <c r="C44" t="s">
        <v>178</v>
      </c>
      <c r="D44" s="64" t="s">
        <v>179</v>
      </c>
      <c r="E44" s="83"/>
      <c r="G44" s="64"/>
    </row>
    <row r="45" spans="1:7" ht="14.4" customHeight="1" x14ac:dyDescent="0.25">
      <c r="A45" t="s">
        <v>190</v>
      </c>
      <c r="B45" t="s">
        <v>25</v>
      </c>
      <c r="C45" t="s">
        <v>178</v>
      </c>
      <c r="D45" s="64" t="s">
        <v>184</v>
      </c>
      <c r="E45" s="83"/>
      <c r="G45" s="64"/>
    </row>
    <row r="46" spans="1:7" ht="14.4" customHeight="1" x14ac:dyDescent="0.25">
      <c r="A46" t="s">
        <v>191</v>
      </c>
      <c r="B46" t="s">
        <v>182</v>
      </c>
      <c r="C46" t="s">
        <v>178</v>
      </c>
      <c r="D46" s="64" t="s">
        <v>179</v>
      </c>
      <c r="E46" s="83"/>
      <c r="G46" s="64"/>
    </row>
    <row r="47" spans="1:7" ht="14.4" customHeight="1" x14ac:dyDescent="0.25">
      <c r="A47" t="s">
        <v>192</v>
      </c>
      <c r="B47" t="s">
        <v>182</v>
      </c>
      <c r="C47" t="s">
        <v>178</v>
      </c>
      <c r="D47" s="64" t="s">
        <v>184</v>
      </c>
      <c r="E47" s="83"/>
      <c r="G47" s="64"/>
    </row>
    <row r="48" spans="1:7" ht="14.4" customHeight="1" x14ac:dyDescent="0.25">
      <c r="A48" t="s">
        <v>193</v>
      </c>
      <c r="B48" t="s">
        <v>182</v>
      </c>
      <c r="C48" t="s">
        <v>178</v>
      </c>
      <c r="D48" s="64" t="s">
        <v>184</v>
      </c>
      <c r="E48" s="83"/>
      <c r="G48" s="64"/>
    </row>
    <row r="49" spans="1:7" ht="14.4" customHeight="1" x14ac:dyDescent="0.25">
      <c r="A49" t="s">
        <v>194</v>
      </c>
      <c r="B49" t="s">
        <v>182</v>
      </c>
      <c r="C49" t="s">
        <v>178</v>
      </c>
      <c r="D49" s="64" t="s">
        <v>184</v>
      </c>
      <c r="E49" s="83"/>
      <c r="G49" s="64"/>
    </row>
    <row r="50" spans="1:7" ht="14.4" customHeight="1" x14ac:dyDescent="0.25">
      <c r="A50" t="s">
        <v>195</v>
      </c>
      <c r="B50" t="s">
        <v>182</v>
      </c>
      <c r="C50" t="s">
        <v>178</v>
      </c>
      <c r="D50" s="64" t="s">
        <v>179</v>
      </c>
      <c r="E50" s="83"/>
      <c r="G50" s="64"/>
    </row>
    <row r="51" spans="1:7" ht="14.4" customHeight="1" x14ac:dyDescent="0.25">
      <c r="A51" t="s">
        <v>196</v>
      </c>
      <c r="B51" t="s">
        <v>182</v>
      </c>
      <c r="C51" t="s">
        <v>178</v>
      </c>
      <c r="D51" s="64" t="s">
        <v>184</v>
      </c>
      <c r="E51" s="83"/>
      <c r="G51" s="64"/>
    </row>
    <row r="52" spans="1:7" ht="14.4" customHeight="1" x14ac:dyDescent="0.25">
      <c r="A52" t="s">
        <v>197</v>
      </c>
      <c r="B52" t="s">
        <v>182</v>
      </c>
      <c r="C52" t="s">
        <v>178</v>
      </c>
      <c r="D52" s="64" t="s">
        <v>179</v>
      </c>
      <c r="E52" s="83"/>
      <c r="G52" s="64"/>
    </row>
    <row r="53" spans="1:7" ht="14.4" customHeight="1" x14ac:dyDescent="0.25">
      <c r="A53" t="s">
        <v>198</v>
      </c>
      <c r="B53" t="s">
        <v>182</v>
      </c>
      <c r="C53" t="s">
        <v>178</v>
      </c>
      <c r="D53" s="64" t="s">
        <v>179</v>
      </c>
      <c r="E53" s="83"/>
      <c r="G53" s="64"/>
    </row>
    <row r="54" spans="1:7" ht="14.4" customHeight="1" x14ac:dyDescent="0.25">
      <c r="A54" t="s">
        <v>199</v>
      </c>
      <c r="B54" t="s">
        <v>182</v>
      </c>
      <c r="C54" t="s">
        <v>178</v>
      </c>
      <c r="D54" s="64" t="s">
        <v>179</v>
      </c>
      <c r="E54" s="83"/>
      <c r="G54" s="64"/>
    </row>
    <row r="55" spans="1:7" ht="14.4" customHeight="1" x14ac:dyDescent="0.25">
      <c r="A55" t="s">
        <v>200</v>
      </c>
      <c r="B55" t="s">
        <v>182</v>
      </c>
      <c r="C55" t="s">
        <v>178</v>
      </c>
      <c r="D55" s="64" t="s">
        <v>184</v>
      </c>
      <c r="E55" s="83"/>
      <c r="G55" s="64"/>
    </row>
    <row r="56" spans="1:7" ht="14.4" customHeight="1" x14ac:dyDescent="0.25">
      <c r="A56" t="s">
        <v>201</v>
      </c>
      <c r="B56" t="s">
        <v>182</v>
      </c>
      <c r="C56" t="s">
        <v>178</v>
      </c>
      <c r="D56" s="64" t="s">
        <v>179</v>
      </c>
      <c r="E56" s="83"/>
      <c r="G56" s="64"/>
    </row>
    <row r="57" spans="1:7" ht="14.4" customHeight="1" x14ac:dyDescent="0.25">
      <c r="A57" t="s">
        <v>202</v>
      </c>
      <c r="B57" t="s">
        <v>182</v>
      </c>
      <c r="C57" t="s">
        <v>178</v>
      </c>
      <c r="D57" s="64" t="s">
        <v>179</v>
      </c>
      <c r="E57" s="83"/>
      <c r="G57" s="64"/>
    </row>
    <row r="58" spans="1:7" ht="14.4" customHeight="1" x14ac:dyDescent="0.25">
      <c r="A58" t="s">
        <v>203</v>
      </c>
      <c r="B58" t="s">
        <v>182</v>
      </c>
      <c r="C58" t="s">
        <v>178</v>
      </c>
      <c r="D58" s="64" t="s">
        <v>179</v>
      </c>
      <c r="E58" s="83"/>
      <c r="G58" s="64"/>
    </row>
    <row r="59" spans="1:7" ht="14.4" customHeight="1" x14ac:dyDescent="0.25">
      <c r="A59" t="s">
        <v>204</v>
      </c>
      <c r="B59" t="s">
        <v>205</v>
      </c>
      <c r="C59" t="s">
        <v>178</v>
      </c>
      <c r="D59" s="64" t="s">
        <v>179</v>
      </c>
      <c r="E59" s="83"/>
      <c r="G59" s="64"/>
    </row>
    <row r="60" spans="1:7" ht="14.4" customHeight="1" x14ac:dyDescent="0.25">
      <c r="A60" t="s">
        <v>206</v>
      </c>
      <c r="B60" t="s">
        <v>205</v>
      </c>
      <c r="C60" t="s">
        <v>178</v>
      </c>
      <c r="D60" s="64" t="s">
        <v>179</v>
      </c>
      <c r="E60" s="83"/>
      <c r="G60" s="64"/>
    </row>
    <row r="61" spans="1:7" ht="14.4" customHeight="1" x14ac:dyDescent="0.25">
      <c r="A61" t="s">
        <v>207</v>
      </c>
      <c r="B61" t="s">
        <v>205</v>
      </c>
      <c r="C61" t="s">
        <v>178</v>
      </c>
      <c r="D61" s="64" t="s">
        <v>179</v>
      </c>
      <c r="E61" s="83"/>
      <c r="G61" s="64"/>
    </row>
    <row r="62" spans="1:7" ht="14.4" customHeight="1" x14ac:dyDescent="0.25">
      <c r="A62" t="s">
        <v>208</v>
      </c>
      <c r="B62" t="s">
        <v>205</v>
      </c>
      <c r="C62" t="s">
        <v>178</v>
      </c>
      <c r="D62" s="64" t="s">
        <v>179</v>
      </c>
      <c r="E62" s="83"/>
      <c r="G62" s="64"/>
    </row>
    <row r="63" spans="1:7" ht="14.4" customHeight="1" x14ac:dyDescent="0.25">
      <c r="A63" t="s">
        <v>209</v>
      </c>
      <c r="B63" t="s">
        <v>205</v>
      </c>
      <c r="C63" t="s">
        <v>178</v>
      </c>
      <c r="D63" s="64" t="s">
        <v>179</v>
      </c>
      <c r="E63" s="83"/>
      <c r="G63" s="64"/>
    </row>
    <row r="64" spans="1:7" ht="14.4" customHeight="1" x14ac:dyDescent="0.25">
      <c r="A64" t="s">
        <v>210</v>
      </c>
      <c r="B64" t="s">
        <v>205</v>
      </c>
      <c r="C64" t="s">
        <v>178</v>
      </c>
      <c r="D64" s="64" t="s">
        <v>179</v>
      </c>
      <c r="E64" s="83"/>
      <c r="G64" s="64"/>
    </row>
    <row r="65" spans="1:7" ht="14.4" customHeight="1" x14ac:dyDescent="0.25">
      <c r="A65" t="s">
        <v>211</v>
      </c>
      <c r="B65" t="s">
        <v>205</v>
      </c>
      <c r="C65" t="s">
        <v>178</v>
      </c>
      <c r="D65" s="64" t="s">
        <v>179</v>
      </c>
      <c r="E65" s="83"/>
      <c r="G65" s="64"/>
    </row>
    <row r="66" spans="1:7" ht="14.4" customHeight="1" x14ac:dyDescent="0.25">
      <c r="A66" t="s">
        <v>212</v>
      </c>
      <c r="B66" t="s">
        <v>205</v>
      </c>
      <c r="C66" t="s">
        <v>213</v>
      </c>
      <c r="D66" s="64" t="s">
        <v>179</v>
      </c>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214</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5:D3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0.66219099999999997</v>
      </c>
      <c r="C4" s="57" t="s">
        <v>36</v>
      </c>
      <c r="D4" s="87">
        <v>0.4657</v>
      </c>
      <c r="E4" s="57" t="s">
        <v>41</v>
      </c>
      <c r="F4" s="86">
        <v>0.79490000000000005</v>
      </c>
      <c r="G4" s="57" t="s">
        <v>42</v>
      </c>
      <c r="H4" s="86">
        <v>0.15515599999999999</v>
      </c>
      <c r="I4" s="57"/>
      <c r="J4" s="88"/>
    </row>
    <row r="5" spans="1:10" ht="15.75" customHeight="1" x14ac:dyDescent="0.25">
      <c r="A5" s="57" t="s">
        <v>62</v>
      </c>
      <c r="B5" s="86">
        <v>0.28229500000000002</v>
      </c>
      <c r="C5" s="57" t="s">
        <v>63</v>
      </c>
      <c r="D5" s="87">
        <v>0.24790000000000001</v>
      </c>
      <c r="E5" s="57" t="s">
        <v>64</v>
      </c>
      <c r="F5" s="87">
        <v>23.129000000000001</v>
      </c>
      <c r="G5" s="57" t="s">
        <v>65</v>
      </c>
      <c r="H5" s="86">
        <v>5.2705000000000002E-2</v>
      </c>
      <c r="I5" s="57"/>
      <c r="J5" s="88"/>
    </row>
    <row r="6" spans="1:10" ht="15" customHeight="1" x14ac:dyDescent="0.25">
      <c r="A6" s="57" t="s">
        <v>66</v>
      </c>
      <c r="B6" s="86">
        <v>0.91531499999999999</v>
      </c>
      <c r="C6" s="57" t="s">
        <v>39</v>
      </c>
      <c r="D6" s="89">
        <v>8.1000000000000003E-2</v>
      </c>
      <c r="E6" s="57" t="s">
        <v>67</v>
      </c>
      <c r="F6" s="87">
        <v>2.6474000000000002</v>
      </c>
      <c r="G6" s="57" t="s">
        <v>45</v>
      </c>
      <c r="H6" s="86">
        <v>4.2689000000000005E-2</v>
      </c>
      <c r="I6" s="57"/>
      <c r="J6" s="88"/>
    </row>
    <row r="7" spans="1:10" ht="14.25" customHeight="1" x14ac:dyDescent="0.25">
      <c r="A7" s="57" t="s">
        <v>38</v>
      </c>
      <c r="B7" s="89">
        <v>0.56688972546705141</v>
      </c>
      <c r="C7" s="57" t="s">
        <v>68</v>
      </c>
      <c r="D7" s="89">
        <v>2.4336000000000002</v>
      </c>
      <c r="E7" s="57" t="s">
        <v>69</v>
      </c>
      <c r="F7" s="87">
        <v>1.4458</v>
      </c>
      <c r="G7" s="57" t="s">
        <v>70</v>
      </c>
      <c r="H7" s="86">
        <v>3.0844E-2</v>
      </c>
      <c r="I7" s="57"/>
      <c r="J7" s="88"/>
    </row>
    <row r="8" spans="1:10" x14ac:dyDescent="0.25">
      <c r="A8" s="57"/>
      <c r="B8" s="90"/>
      <c r="C8" s="57"/>
      <c r="D8" s="91"/>
      <c r="E8" s="57" t="s">
        <v>71</v>
      </c>
      <c r="F8" s="87">
        <v>0.37269999999999998</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116.66166701290001</v>
      </c>
      <c r="C12" s="57" t="s">
        <v>78</v>
      </c>
      <c r="D12" s="89">
        <v>536.83731316030003</v>
      </c>
      <c r="E12" s="147" t="s">
        <v>79</v>
      </c>
      <c r="F12" s="120"/>
      <c r="G12" s="120"/>
      <c r="H12" s="148">
        <v>426.71559089900001</v>
      </c>
      <c r="I12" s="120"/>
      <c r="J12" s="120"/>
    </row>
    <row r="13" spans="1:10" ht="14.25" customHeight="1" x14ac:dyDescent="0.25">
      <c r="A13" s="57" t="s">
        <v>80</v>
      </c>
      <c r="B13" s="92">
        <v>30.848513608200001</v>
      </c>
      <c r="C13" s="57" t="s">
        <v>81</v>
      </c>
      <c r="D13" s="89">
        <v>506.84778870389999</v>
      </c>
      <c r="E13" s="147" t="s">
        <v>82</v>
      </c>
      <c r="F13" s="120"/>
      <c r="G13" s="120"/>
      <c r="H13" s="148">
        <v>4.0417349837999996</v>
      </c>
      <c r="I13" s="120"/>
      <c r="J13" s="120"/>
    </row>
    <row r="14" spans="1:10" ht="14.25" customHeight="1" x14ac:dyDescent="0.25">
      <c r="A14" s="57" t="s">
        <v>83</v>
      </c>
      <c r="B14" s="92">
        <v>4.7570847020000002</v>
      </c>
      <c r="C14" s="57" t="s">
        <v>84</v>
      </c>
      <c r="D14" s="89">
        <v>453.54392808690005</v>
      </c>
      <c r="E14" s="147" t="s">
        <v>85</v>
      </c>
      <c r="F14" s="120"/>
      <c r="G14" s="120"/>
      <c r="H14" s="148">
        <v>436.85121793680003</v>
      </c>
      <c r="I14" s="120"/>
      <c r="J14" s="120"/>
    </row>
    <row r="15" spans="1:10" ht="14.25" customHeight="1" x14ac:dyDescent="0.25">
      <c r="A15" s="57" t="s">
        <v>86</v>
      </c>
      <c r="B15" s="92">
        <v>715.42101556220007</v>
      </c>
      <c r="C15" s="57" t="s">
        <v>87</v>
      </c>
      <c r="D15" s="89">
        <v>21.8087000033</v>
      </c>
      <c r="E15" s="147" t="s">
        <v>88</v>
      </c>
      <c r="F15" s="120"/>
      <c r="G15" s="120"/>
      <c r="H15" s="148">
        <v>317.09051195439997</v>
      </c>
      <c r="I15" s="120"/>
      <c r="J15" s="120"/>
    </row>
    <row r="16" spans="1:10" ht="14.25" customHeight="1" x14ac:dyDescent="0.25">
      <c r="A16" s="57" t="s">
        <v>89</v>
      </c>
      <c r="B16" s="92">
        <v>5.6931924862000001</v>
      </c>
      <c r="C16" s="57" t="s">
        <v>90</v>
      </c>
      <c r="D16" s="89">
        <v>10.4304093957</v>
      </c>
      <c r="E16" s="147" t="s">
        <v>91</v>
      </c>
      <c r="F16" s="120"/>
      <c r="G16" s="120"/>
      <c r="H16" s="148">
        <v>5.5044028901999997</v>
      </c>
      <c r="I16" s="120"/>
      <c r="J16" s="120"/>
    </row>
    <row r="17" spans="1:10" ht="14.25" customHeight="1" x14ac:dyDescent="0.25">
      <c r="A17" s="57" t="s">
        <v>92</v>
      </c>
      <c r="B17" s="92">
        <v>18.124091399000001</v>
      </c>
      <c r="C17" s="57" t="s">
        <v>93</v>
      </c>
      <c r="D17" s="89">
        <v>16.7836904049</v>
      </c>
      <c r="E17" s="147" t="s">
        <v>94</v>
      </c>
      <c r="F17" s="120"/>
      <c r="G17" s="120"/>
      <c r="H17" s="148">
        <v>363.56153689550001</v>
      </c>
      <c r="I17" s="120"/>
      <c r="J17" s="120"/>
    </row>
    <row r="18" spans="1:10" ht="14.25" customHeight="1" x14ac:dyDescent="0.25">
      <c r="A18" s="57" t="s">
        <v>95</v>
      </c>
      <c r="B18" s="92">
        <v>1466.4246483431</v>
      </c>
      <c r="C18" s="57" t="s">
        <v>96</v>
      </c>
      <c r="D18" s="89">
        <v>28.293779449599999</v>
      </c>
      <c r="E18" s="147" t="s">
        <v>97</v>
      </c>
      <c r="F18" s="120"/>
      <c r="G18" s="120"/>
      <c r="H18" s="148">
        <v>73.2896810413</v>
      </c>
      <c r="I18" s="120"/>
      <c r="J18" s="120"/>
    </row>
    <row r="19" spans="1:10" ht="14.25" customHeight="1" x14ac:dyDescent="0.25">
      <c r="A19" s="57" t="s">
        <v>98</v>
      </c>
      <c r="B19" s="92">
        <v>140.49951751250001</v>
      </c>
      <c r="C19" s="57" t="s">
        <v>99</v>
      </c>
      <c r="D19" s="89">
        <v>28.264212369199999</v>
      </c>
      <c r="E19" s="147" t="s">
        <v>100</v>
      </c>
      <c r="F19" s="120"/>
      <c r="G19" s="120"/>
      <c r="H19" s="148">
        <v>-7.2697992598000001</v>
      </c>
      <c r="I19" s="120"/>
      <c r="J19" s="120"/>
    </row>
    <row r="20" spans="1:10" ht="27" customHeight="1" x14ac:dyDescent="0.25">
      <c r="A20" s="57" t="s">
        <v>101</v>
      </c>
      <c r="B20" s="92">
        <v>85.154409474899992</v>
      </c>
      <c r="C20" s="57" t="s">
        <v>43</v>
      </c>
      <c r="D20" s="89">
        <v>20.5090070107</v>
      </c>
      <c r="E20" s="147" t="s">
        <v>102</v>
      </c>
      <c r="F20" s="120"/>
      <c r="G20" s="120"/>
      <c r="H20" s="148">
        <v>4.9000000000000002E-2</v>
      </c>
      <c r="I20" s="120"/>
      <c r="J20" s="120"/>
    </row>
    <row r="21" spans="1:10" ht="16.5" customHeight="1" x14ac:dyDescent="0.25">
      <c r="A21" s="57" t="s">
        <v>103</v>
      </c>
      <c r="B21" s="92">
        <v>0</v>
      </c>
      <c r="C21" s="57"/>
      <c r="D21" s="93"/>
      <c r="E21" s="147" t="s">
        <v>104</v>
      </c>
      <c r="F21" s="120"/>
      <c r="G21" s="120"/>
      <c r="H21" s="148">
        <v>206.79507219999999</v>
      </c>
      <c r="I21" s="120"/>
      <c r="J21" s="120"/>
    </row>
    <row r="22" spans="1:10" ht="14.25" customHeight="1" x14ac:dyDescent="0.25">
      <c r="A22" s="57" t="s">
        <v>105</v>
      </c>
      <c r="B22" s="92">
        <v>32.8150000045</v>
      </c>
      <c r="C22" s="57"/>
      <c r="D22" s="93"/>
      <c r="E22" s="147" t="s">
        <v>106</v>
      </c>
      <c r="F22" s="120"/>
      <c r="G22" s="120"/>
      <c r="H22" s="148">
        <v>0</v>
      </c>
      <c r="I22" s="120"/>
      <c r="J22" s="120"/>
    </row>
    <row r="23" spans="1:10" ht="14.25" customHeight="1" x14ac:dyDescent="0.25">
      <c r="A23" s="57" t="s">
        <v>107</v>
      </c>
      <c r="B23" s="92">
        <v>20</v>
      </c>
      <c r="C23" s="57"/>
      <c r="D23" s="93"/>
      <c r="E23" s="147" t="s">
        <v>108</v>
      </c>
      <c r="F23" s="120"/>
      <c r="G23" s="120"/>
      <c r="H23" s="148">
        <v>355.70872011900002</v>
      </c>
      <c r="I23" s="120"/>
      <c r="J23" s="120"/>
    </row>
    <row r="24" spans="1:10" ht="14.25" customHeight="1" x14ac:dyDescent="0.25">
      <c r="A24" s="57" t="s">
        <v>109</v>
      </c>
      <c r="B24" s="92">
        <v>971.05344885339991</v>
      </c>
      <c r="C24" s="94"/>
      <c r="D24" s="91"/>
      <c r="E24" s="147" t="s">
        <v>110</v>
      </c>
      <c r="F24" s="120"/>
      <c r="G24" s="120"/>
      <c r="H24" s="148">
        <v>215.83438666220002</v>
      </c>
      <c r="I24" s="120"/>
      <c r="J24" s="120"/>
    </row>
    <row r="25" spans="1:10" ht="14.25" customHeight="1" x14ac:dyDescent="0.25">
      <c r="A25" s="57" t="s">
        <v>111</v>
      </c>
      <c r="B25" s="92">
        <v>495.37119948970002</v>
      </c>
      <c r="C25" s="94"/>
      <c r="D25" s="91"/>
      <c r="E25" s="147" t="s">
        <v>112</v>
      </c>
      <c r="F25" s="120"/>
      <c r="G25" s="120"/>
      <c r="H25" s="148">
        <v>389.60103730519995</v>
      </c>
      <c r="I25" s="120"/>
      <c r="J25" s="120"/>
    </row>
    <row r="26" spans="1:10" ht="14.25" customHeight="1" x14ac:dyDescent="0.25">
      <c r="A26" s="95" t="s">
        <v>113</v>
      </c>
      <c r="B26" s="92">
        <v>1466.4246483431</v>
      </c>
      <c r="C26" s="94"/>
      <c r="D26" s="91"/>
      <c r="E26" s="147" t="s">
        <v>114</v>
      </c>
      <c r="F26" s="120"/>
      <c r="G26" s="120"/>
      <c r="H26" s="148">
        <v>-33.892317186199996</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215</v>
      </c>
      <c r="B1" s="124"/>
      <c r="C1" s="124"/>
      <c r="D1" s="124"/>
      <c r="E1" s="124"/>
      <c r="F1" s="124"/>
      <c r="G1" s="124"/>
      <c r="H1" s="124"/>
      <c r="I1" s="124"/>
    </row>
    <row r="2" spans="1:10" ht="46.5" customHeight="1" x14ac:dyDescent="0.25">
      <c r="A2" s="54" t="s">
        <v>22</v>
      </c>
      <c r="B2" s="43" t="s">
        <v>223</v>
      </c>
      <c r="C2" s="43" t="s">
        <v>216</v>
      </c>
      <c r="D2" s="43" t="s">
        <v>277</v>
      </c>
      <c r="E2" s="43" t="s">
        <v>278</v>
      </c>
      <c r="F2" s="43" t="s">
        <v>279</v>
      </c>
      <c r="G2" s="43" t="s">
        <v>280</v>
      </c>
      <c r="H2" s="43" t="s">
        <v>281</v>
      </c>
      <c r="I2" s="43" t="s">
        <v>282</v>
      </c>
      <c r="J2" s="43" t="s">
        <v>283</v>
      </c>
    </row>
    <row r="3" spans="1:10" x14ac:dyDescent="0.25">
      <c r="A3" s="54" t="s">
        <v>24</v>
      </c>
      <c r="B3" s="97" t="s">
        <v>25</v>
      </c>
      <c r="C3" s="98" t="s">
        <v>213</v>
      </c>
      <c r="D3" s="97" t="s">
        <v>25</v>
      </c>
      <c r="E3" s="97" t="s">
        <v>25</v>
      </c>
      <c r="F3" s="97" t="s">
        <v>25</v>
      </c>
      <c r="G3" s="97" t="s">
        <v>25</v>
      </c>
      <c r="H3" s="97" t="s">
        <v>25</v>
      </c>
      <c r="I3" s="97" t="s">
        <v>25</v>
      </c>
      <c r="J3" s="97" t="s">
        <v>25</v>
      </c>
    </row>
    <row r="4" spans="1:10" s="7" customFormat="1" ht="21.6" x14ac:dyDescent="0.25">
      <c r="A4" s="9" t="s">
        <v>3</v>
      </c>
      <c r="B4" s="99" t="s">
        <v>267</v>
      </c>
      <c r="C4" s="98" t="s">
        <v>213</v>
      </c>
      <c r="D4" s="99" t="s">
        <v>267</v>
      </c>
      <c r="E4" s="99" t="s">
        <v>267</v>
      </c>
      <c r="F4" s="99" t="s">
        <v>267</v>
      </c>
      <c r="G4" s="99" t="s">
        <v>284</v>
      </c>
      <c r="H4" s="99" t="s">
        <v>267</v>
      </c>
      <c r="I4" s="99" t="s">
        <v>267</v>
      </c>
      <c r="J4" s="99" t="s">
        <v>284</v>
      </c>
    </row>
    <row r="5" spans="1:10" s="7" customFormat="1" x14ac:dyDescent="0.25">
      <c r="A5" s="9" t="s">
        <v>29</v>
      </c>
      <c r="B5" s="100" t="s">
        <v>30</v>
      </c>
      <c r="C5" s="98" t="s">
        <v>213</v>
      </c>
      <c r="D5" s="100" t="s">
        <v>30</v>
      </c>
      <c r="E5" s="100" t="s">
        <v>30</v>
      </c>
      <c r="F5" s="100" t="s">
        <v>30</v>
      </c>
      <c r="G5" s="100" t="s">
        <v>30</v>
      </c>
      <c r="H5" s="100" t="s">
        <v>30</v>
      </c>
      <c r="I5" s="100" t="s">
        <v>30</v>
      </c>
      <c r="J5" s="100" t="s">
        <v>30</v>
      </c>
    </row>
    <row r="6" spans="1:10" x14ac:dyDescent="0.25">
      <c r="A6" s="54" t="s">
        <v>32</v>
      </c>
      <c r="B6" s="101">
        <v>1466.4246483431</v>
      </c>
      <c r="C6" s="98">
        <v>2860.3206677044718</v>
      </c>
      <c r="D6" s="101">
        <v>1327.1894315094</v>
      </c>
      <c r="E6" s="101">
        <v>5011.4268697978005</v>
      </c>
      <c r="F6" s="101">
        <v>1171.1285856269001</v>
      </c>
      <c r="G6" s="101">
        <v>3502.3463261516999</v>
      </c>
      <c r="H6" s="101">
        <v>2986.5494964178001</v>
      </c>
      <c r="I6" s="101">
        <v>3761.8377103056</v>
      </c>
      <c r="J6" s="101">
        <v>2261.7662541220998</v>
      </c>
    </row>
    <row r="7" spans="1:10" x14ac:dyDescent="0.25">
      <c r="A7" s="54" t="s">
        <v>34</v>
      </c>
      <c r="B7" s="44">
        <v>0.66219099999999997</v>
      </c>
      <c r="C7" s="98">
        <v>0.66727571428571431</v>
      </c>
      <c r="D7" s="44">
        <v>0.62827299999999997</v>
      </c>
      <c r="E7" s="44">
        <v>0.72785900000000003</v>
      </c>
      <c r="F7" s="44">
        <v>0.66788499999999995</v>
      </c>
      <c r="G7" s="44">
        <v>0.50184099999999998</v>
      </c>
      <c r="H7" s="44">
        <v>0.845634</v>
      </c>
      <c r="I7" s="44">
        <v>0.72492999999999996</v>
      </c>
      <c r="J7" s="44">
        <v>0.57450800000000002</v>
      </c>
    </row>
    <row r="8" spans="1:10" x14ac:dyDescent="0.25">
      <c r="A8" s="54" t="s">
        <v>36</v>
      </c>
      <c r="B8" s="101">
        <v>0.4657</v>
      </c>
      <c r="C8" s="98">
        <v>0.66884285714285707</v>
      </c>
      <c r="D8" s="101">
        <v>0.48349999999999999</v>
      </c>
      <c r="E8" s="101">
        <v>0.52280000000000004</v>
      </c>
      <c r="F8" s="101">
        <v>0.64739999999999998</v>
      </c>
      <c r="G8" s="101">
        <v>0.81669999999999998</v>
      </c>
      <c r="H8" s="101">
        <v>0.92030000000000001</v>
      </c>
      <c r="I8" s="101">
        <v>0.61099999999999999</v>
      </c>
      <c r="J8" s="101">
        <v>0.68020000000000003</v>
      </c>
    </row>
    <row r="9" spans="1:10" x14ac:dyDescent="0.25">
      <c r="A9" s="54" t="s">
        <v>38</v>
      </c>
      <c r="B9" s="97">
        <v>0.56688972546705141</v>
      </c>
      <c r="C9" s="98">
        <v>1.5150521695343566</v>
      </c>
      <c r="D9" s="97">
        <v>1.2259962660615153</v>
      </c>
      <c r="E9" s="97">
        <v>1.7199885286662151</v>
      </c>
      <c r="F9" s="97">
        <v>1.1533185615187547</v>
      </c>
      <c r="G9" s="97">
        <v>0.51720729120088604</v>
      </c>
      <c r="H9" s="97">
        <v>3.2973052563923377</v>
      </c>
      <c r="I9" s="97">
        <v>1.7888291594712278</v>
      </c>
      <c r="J9" s="97">
        <v>0.90272012342955932</v>
      </c>
    </row>
    <row r="10" spans="1:10" ht="21.6" customHeight="1" x14ac:dyDescent="0.25">
      <c r="A10" s="54" t="s">
        <v>39</v>
      </c>
      <c r="B10" s="101">
        <v>8.1000000000000003E-2</v>
      </c>
      <c r="C10" s="98">
        <v>0.12480000000000001</v>
      </c>
      <c r="D10" s="101">
        <v>0.14180000000000001</v>
      </c>
      <c r="E10" s="101">
        <v>5.4899999999999997E-2</v>
      </c>
      <c r="F10" s="101">
        <v>0.16009999999999999</v>
      </c>
      <c r="G10" s="101">
        <v>0.26090000000000002</v>
      </c>
      <c r="H10" s="101">
        <v>7.0699999999999999E-2</v>
      </c>
      <c r="I10" s="101">
        <v>8.3199999999999996E-2</v>
      </c>
      <c r="J10" s="101">
        <v>0.10199999999999999</v>
      </c>
    </row>
    <row r="11" spans="1:10" x14ac:dyDescent="0.25">
      <c r="A11" s="54" t="s">
        <v>40</v>
      </c>
      <c r="B11" s="101">
        <v>536.83731316030003</v>
      </c>
      <c r="C11" s="98">
        <v>1688.1704470280715</v>
      </c>
      <c r="D11" s="101">
        <v>807.9057056222</v>
      </c>
      <c r="E11" s="101">
        <v>1856.8324350539001</v>
      </c>
      <c r="F11" s="101">
        <v>1024.5184233691</v>
      </c>
      <c r="G11" s="101">
        <v>2890.9290025928003</v>
      </c>
      <c r="H11" s="101">
        <v>1267.864224203</v>
      </c>
      <c r="I11" s="101">
        <v>3051.221508349</v>
      </c>
      <c r="J11" s="101">
        <v>917.92183000649993</v>
      </c>
    </row>
    <row r="12" spans="1:10" s="7" customFormat="1" x14ac:dyDescent="0.25">
      <c r="A12" s="9" t="s">
        <v>41</v>
      </c>
      <c r="B12" s="45">
        <v>0.79490000000000005</v>
      </c>
      <c r="C12" s="98">
        <v>1.0267000000000002</v>
      </c>
      <c r="D12" s="45">
        <v>1.1088</v>
      </c>
      <c r="E12" s="45">
        <v>1.2434000000000001</v>
      </c>
      <c r="F12" s="45">
        <v>1.0610999999999999</v>
      </c>
      <c r="G12" s="45">
        <v>1.1039000000000001</v>
      </c>
      <c r="H12" s="45">
        <v>0.78539999999999988</v>
      </c>
      <c r="I12" s="45">
        <v>1.0746</v>
      </c>
      <c r="J12" s="45">
        <v>0.80969999999999998</v>
      </c>
    </row>
    <row r="13" spans="1:10" s="7" customFormat="1" x14ac:dyDescent="0.25">
      <c r="A13" s="9" t="s">
        <v>42</v>
      </c>
      <c r="B13" s="45">
        <v>0.15515599999999999</v>
      </c>
      <c r="C13" s="98">
        <v>0.14657471428571428</v>
      </c>
      <c r="D13" s="45">
        <v>0.19234600000000002</v>
      </c>
      <c r="E13" s="45">
        <v>0.10722899999999999</v>
      </c>
      <c r="F13" s="45">
        <v>0.130409</v>
      </c>
      <c r="G13" s="45">
        <v>0.14067399999999999</v>
      </c>
      <c r="H13" s="45">
        <v>0.15187699999999998</v>
      </c>
      <c r="I13" s="45">
        <v>0.105863</v>
      </c>
      <c r="J13" s="45">
        <v>0.197625</v>
      </c>
    </row>
    <row r="14" spans="1:10" s="7" customFormat="1" x14ac:dyDescent="0.25">
      <c r="A14" s="9" t="s">
        <v>43</v>
      </c>
      <c r="B14" s="102">
        <v>20.5090070107</v>
      </c>
      <c r="C14" s="98">
        <v>53.395360992328563</v>
      </c>
      <c r="D14" s="102">
        <v>40.5231895999</v>
      </c>
      <c r="E14" s="102">
        <v>6.6696537751999996</v>
      </c>
      <c r="F14" s="102">
        <v>48.907486246600001</v>
      </c>
      <c r="G14" s="102">
        <v>204.03137217049999</v>
      </c>
      <c r="H14" s="102">
        <v>17.569886848199999</v>
      </c>
      <c r="I14" s="102">
        <v>13.574162700599999</v>
      </c>
      <c r="J14" s="102">
        <v>42.491775605299999</v>
      </c>
    </row>
    <row r="15" spans="1:10" x14ac:dyDescent="0.25">
      <c r="A15" s="54" t="s">
        <v>45</v>
      </c>
      <c r="B15" s="44">
        <v>4.2689000000000005E-2</v>
      </c>
      <c r="C15" s="98">
        <v>2.4209999999999999E-2</v>
      </c>
      <c r="D15" s="44">
        <v>7.8085000000000002E-2</v>
      </c>
      <c r="E15" s="44">
        <v>5.1999999999999997E-5</v>
      </c>
      <c r="F15" s="44">
        <v>0.14029999999999998</v>
      </c>
      <c r="G15" s="44">
        <v>0.13419999999999999</v>
      </c>
      <c r="H15" s="44">
        <v>-0.20145199999999999</v>
      </c>
      <c r="I15" s="44">
        <v>-1.4678E-2</v>
      </c>
      <c r="J15" s="44">
        <v>3.2962999999999999E-2</v>
      </c>
    </row>
    <row r="16" spans="1:10" s="7" customFormat="1" ht="25.8" customHeight="1" x14ac:dyDescent="0.25">
      <c r="A16" s="9" t="s">
        <v>46</v>
      </c>
      <c r="B16" s="102">
        <v>73.2896810413</v>
      </c>
      <c r="C16" s="98">
        <v>110.66412890204285</v>
      </c>
      <c r="D16" s="102">
        <v>136.25089499889998</v>
      </c>
      <c r="E16" s="102">
        <v>53.4821754297</v>
      </c>
      <c r="F16" s="102">
        <v>53.171379832200003</v>
      </c>
      <c r="G16" s="102">
        <v>330.77273594370001</v>
      </c>
      <c r="H16" s="102">
        <v>-31.9321276957</v>
      </c>
      <c r="I16" s="102">
        <v>167.94488826439999</v>
      </c>
      <c r="J16" s="102">
        <v>64.958955541099996</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4"/>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217</v>
      </c>
      <c r="B1" s="124"/>
      <c r="C1" s="124"/>
      <c r="D1" s="124"/>
      <c r="E1" s="124"/>
      <c r="F1" s="124"/>
    </row>
    <row r="2" spans="1:6" x14ac:dyDescent="0.25">
      <c r="A2" s="51" t="s">
        <v>218</v>
      </c>
      <c r="B2" s="50" t="s">
        <v>219</v>
      </c>
      <c r="C2" s="50" t="s">
        <v>220</v>
      </c>
      <c r="D2" s="50" t="s">
        <v>221</v>
      </c>
      <c r="E2" s="50" t="s">
        <v>176</v>
      </c>
      <c r="F2" s="50" t="s">
        <v>222</v>
      </c>
    </row>
    <row r="3" spans="1:6" ht="48" customHeight="1" x14ac:dyDescent="0.25">
      <c r="A3" s="104">
        <v>43294</v>
      </c>
      <c r="B3" s="52" t="s">
        <v>223</v>
      </c>
      <c r="C3" s="105" t="s">
        <v>224</v>
      </c>
      <c r="D3" s="105"/>
      <c r="E3" s="52" t="s">
        <v>179</v>
      </c>
      <c r="F3" s="105" t="s">
        <v>225</v>
      </c>
    </row>
    <row r="4" spans="1:6" ht="49.5" customHeight="1" x14ac:dyDescent="0.25">
      <c r="A4" s="104">
        <v>43266</v>
      </c>
      <c r="B4" s="52" t="s">
        <v>226</v>
      </c>
      <c r="C4" s="105" t="s">
        <v>224</v>
      </c>
      <c r="D4" s="105"/>
      <c r="E4" s="52" t="s">
        <v>227</v>
      </c>
      <c r="F4" s="105" t="s">
        <v>228</v>
      </c>
    </row>
    <row r="5" spans="1:6" ht="57" x14ac:dyDescent="0.25">
      <c r="A5" s="104">
        <v>43234</v>
      </c>
      <c r="B5" s="52" t="s">
        <v>229</v>
      </c>
      <c r="C5" s="105" t="s">
        <v>224</v>
      </c>
      <c r="D5" s="105"/>
      <c r="E5" s="52" t="s">
        <v>227</v>
      </c>
      <c r="F5" s="105" t="s">
        <v>230</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231</v>
      </c>
      <c r="B21" s="143"/>
      <c r="C21" s="143"/>
      <c r="D21" s="143"/>
      <c r="E21" s="143"/>
      <c r="F21" s="143"/>
    </row>
    <row r="22" spans="1:6" x14ac:dyDescent="0.25">
      <c r="A22" s="84" t="s">
        <v>218</v>
      </c>
      <c r="B22" s="84" t="s">
        <v>219</v>
      </c>
      <c r="C22" s="84" t="s">
        <v>232</v>
      </c>
      <c r="D22" s="84" t="s">
        <v>233</v>
      </c>
      <c r="E22" s="84" t="s">
        <v>176</v>
      </c>
      <c r="F22" s="84" t="s">
        <v>222</v>
      </c>
    </row>
    <row r="23" spans="1:6" x14ac:dyDescent="0.25">
      <c r="A23" s="107">
        <v>43273</v>
      </c>
      <c r="B23" s="58" t="s">
        <v>234</v>
      </c>
      <c r="C23" s="108" t="s">
        <v>235</v>
      </c>
      <c r="D23" s="108"/>
      <c r="E23" s="58" t="s">
        <v>236</v>
      </c>
      <c r="F23" s="108" t="s">
        <v>237</v>
      </c>
    </row>
    <row r="24" spans="1:6" x14ac:dyDescent="0.25">
      <c r="A24" s="107">
        <v>43241</v>
      </c>
      <c r="B24" s="58" t="s">
        <v>238</v>
      </c>
      <c r="C24" s="108" t="s">
        <v>239</v>
      </c>
      <c r="D24" s="108"/>
      <c r="E24" s="58" t="s">
        <v>240</v>
      </c>
      <c r="F24" s="108" t="s">
        <v>241</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242</v>
      </c>
      <c r="B1" s="124"/>
      <c r="C1" s="124"/>
      <c r="D1" s="124"/>
      <c r="E1" s="124"/>
      <c r="F1" s="124"/>
      <c r="G1" s="124"/>
      <c r="H1" s="124"/>
      <c r="I1" s="124"/>
      <c r="J1" s="124"/>
      <c r="K1" s="124"/>
      <c r="L1" s="124"/>
      <c r="M1" s="124"/>
      <c r="N1" s="124"/>
    </row>
    <row r="2" spans="1:18" s="1" customFormat="1" ht="25.5" customHeight="1" x14ac:dyDescent="0.25">
      <c r="A2" s="55" t="s">
        <v>243</v>
      </c>
      <c r="B2" s="55" t="s">
        <v>244</v>
      </c>
      <c r="C2" s="55" t="s">
        <v>245</v>
      </c>
      <c r="D2" s="55" t="s">
        <v>246</v>
      </c>
      <c r="E2" s="55" t="s">
        <v>247</v>
      </c>
      <c r="F2" s="55" t="s">
        <v>248</v>
      </c>
      <c r="G2" s="55" t="s">
        <v>249</v>
      </c>
      <c r="H2" s="55" t="s">
        <v>16</v>
      </c>
      <c r="I2" s="55" t="s">
        <v>250</v>
      </c>
      <c r="J2" s="55" t="s">
        <v>251</v>
      </c>
      <c r="K2" s="55" t="s">
        <v>252</v>
      </c>
      <c r="L2" s="55" t="s">
        <v>253</v>
      </c>
      <c r="M2" s="55" t="s">
        <v>19</v>
      </c>
      <c r="N2" s="55" t="s">
        <v>254</v>
      </c>
      <c r="O2" s="3"/>
      <c r="P2" s="110" t="str">
        <f ca="1">Q2</f>
        <v>2019-04-16</v>
      </c>
      <c r="Q2" s="1" t="str">
        <f ca="1">[1]!td(R2-1)</f>
        <v>2019-04-16</v>
      </c>
      <c r="R2" s="3">
        <f ca="1">TODAY()</f>
        <v>43572</v>
      </c>
    </row>
    <row r="3" spans="1:18" ht="15.75" customHeight="1" x14ac:dyDescent="0.25">
      <c r="A3" s="111" t="str">
        <f>[1]!b_info_name(L3)</f>
        <v>19包钢MTN001</v>
      </c>
      <c r="B3" s="2" t="str">
        <f>[1]!b_issue_firstissue(L3)</f>
        <v>2019-04-18</v>
      </c>
      <c r="C3" s="111">
        <f>[1]!b_info_term(L3)</f>
        <v>5</v>
      </c>
      <c r="D3" s="112" t="str">
        <f>[1]!issuerrating(L3)</f>
        <v>AAA</v>
      </c>
      <c r="E3" s="112" t="str">
        <f>[1]!b_info_creditrating(L3)</f>
        <v>AAA</v>
      </c>
      <c r="F3" s="111" t="str">
        <f>[1]!b_rate_creditratingagency(L3)</f>
        <v>联合资信评估有限公司</v>
      </c>
      <c r="G3" s="113">
        <f>[1]!b_agency_guarantor(L3)</f>
        <v>0</v>
      </c>
      <c r="H3" s="114" t="s">
        <v>255</v>
      </c>
      <c r="I3" s="66"/>
      <c r="J3" s="115" t="s">
        <v>255</v>
      </c>
      <c r="K3" s="116"/>
      <c r="L3" s="41" t="str">
        <f>公式页!A2</f>
        <v>q19041616.IB</v>
      </c>
      <c r="M3" s="114" t="s">
        <v>255</v>
      </c>
      <c r="N3" s="111" t="str">
        <f>[1]!b_agency_leadunderwriter(L3)</f>
        <v>海通证券股份有限公司,渤海银行股份有限公司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256</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257</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243</v>
      </c>
      <c r="B13" s="55" t="s">
        <v>244</v>
      </c>
      <c r="C13" s="55" t="s">
        <v>245</v>
      </c>
      <c r="D13" s="55" t="s">
        <v>246</v>
      </c>
      <c r="E13" s="55" t="s">
        <v>247</v>
      </c>
      <c r="F13" s="55" t="s">
        <v>248</v>
      </c>
      <c r="G13" s="55" t="s">
        <v>249</v>
      </c>
      <c r="H13" s="55" t="s">
        <v>16</v>
      </c>
      <c r="I13" s="55" t="s">
        <v>250</v>
      </c>
      <c r="J13" s="55" t="s">
        <v>251</v>
      </c>
      <c r="K13" s="55" t="s">
        <v>252</v>
      </c>
      <c r="L13" s="55" t="s">
        <v>253</v>
      </c>
      <c r="M13" s="55" t="s">
        <v>19</v>
      </c>
      <c r="N13" s="55" t="s">
        <v>254</v>
      </c>
      <c r="P13" s="109" t="str">
        <f t="shared" ca="1" si="0"/>
        <v>2019-04-16</v>
      </c>
    </row>
    <row r="14" spans="1:18" ht="15.75" customHeight="1" x14ac:dyDescent="0.25">
      <c r="A14" s="111" t="str">
        <f>[1]!b_info_name(L14)</f>
        <v>19包钢MTN001</v>
      </c>
      <c r="B14" s="2" t="str">
        <f>[1]!b_issue_firstissue(L14)</f>
        <v>2019-04-18</v>
      </c>
      <c r="C14" s="111">
        <f>[1]!b_info_term(L14)</f>
        <v>5</v>
      </c>
      <c r="D14" s="112" t="str">
        <f>[1]!issuerrating(L14)</f>
        <v>AAA</v>
      </c>
      <c r="E14" s="112" t="str">
        <f>[1]!b_info_creditrating(L14)</f>
        <v>AAA</v>
      </c>
      <c r="F14" s="111" t="str">
        <f>[1]!b_rate_creditratingagency(L14)</f>
        <v>联合资信评估有限公司</v>
      </c>
      <c r="G14" s="113">
        <f>[1]!b_agency_guarantor(L14)</f>
        <v>0</v>
      </c>
      <c r="H14" s="114" t="s">
        <v>255</v>
      </c>
      <c r="I14" s="66"/>
      <c r="J14" s="115" t="s">
        <v>255</v>
      </c>
      <c r="K14" s="116">
        <f>K3</f>
        <v>0</v>
      </c>
      <c r="L14" s="42" t="str">
        <f>L3</f>
        <v>q19041616.IB</v>
      </c>
      <c r="M14" s="114" t="s">
        <v>255</v>
      </c>
      <c r="N14" s="111" t="str">
        <f>[1]!b_agency_leadunderwriter(L14)</f>
        <v>海通证券股份有限公司,渤海银行股份有限公司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258</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259</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260</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261</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262</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263</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264</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265</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266</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2019-04-17T07:56:21Z</dcterms:modified>
</cp:coreProperties>
</file>