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F375AD1F-0ED1-486A-99C6-AB9F577C039D}" xr6:coauthVersionLast="43" xr6:coauthVersionMax="43" xr10:uidLastSave="{00000000-0000-0000-0000-000000000000}"/>
  <bookViews>
    <workbookView xWindow="3036" yWindow="3036"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M17" i="6"/>
  <c r="G16" i="6"/>
  <c r="D15" i="6"/>
  <c r="C14" i="6"/>
  <c r="H9" i="6"/>
  <c r="F7" i="6"/>
  <c r="G6" i="6"/>
  <c r="H5" i="6"/>
  <c r="G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F17" i="6"/>
  <c r="C16" i="6"/>
  <c r="D9" i="6"/>
  <c r="E8" i="6"/>
  <c r="B7" i="6"/>
  <c r="C6" i="6"/>
  <c r="D5" i="6"/>
  <c r="E4" i="6"/>
  <c r="C3" i="6"/>
  <c r="S140" i="1"/>
  <c r="S138" i="1"/>
  <c r="S136" i="1"/>
  <c r="M135" i="1"/>
  <c r="S133" i="1"/>
  <c r="O132" i="1"/>
  <c r="M131" i="1"/>
  <c r="O130" i="1"/>
  <c r="S129" i="1"/>
  <c r="M127" i="1"/>
  <c r="S112" i="1"/>
  <c r="F111" i="1"/>
  <c r="M110" i="1"/>
  <c r="F109" i="1"/>
  <c r="O103" i="1"/>
  <c r="E18" i="6"/>
  <c r="B17" i="6"/>
  <c r="O15" i="6"/>
  <c r="N9" i="6"/>
  <c r="A8" i="6"/>
  <c r="M6" i="6"/>
  <c r="N5" i="6"/>
  <c r="A4" i="6"/>
  <c r="A18" i="6"/>
  <c r="N16" i="6"/>
  <c r="Q2" i="6"/>
  <c r="S141" i="1"/>
  <c r="S137" i="1"/>
  <c r="O134" i="1"/>
  <c r="S131" i="1"/>
  <c r="O128" i="1"/>
  <c r="M121" i="1"/>
  <c r="M119" i="1"/>
  <c r="M117" i="1"/>
  <c r="F112" i="1"/>
  <c r="M109" i="1"/>
  <c r="M103" i="1"/>
  <c r="D102" i="1"/>
  <c r="P101" i="1"/>
  <c r="J101" i="1"/>
  <c r="B101" i="1"/>
  <c r="N100" i="1"/>
  <c r="F100" i="1"/>
  <c r="Q99" i="1"/>
  <c r="L99" i="1"/>
  <c r="D99" i="1"/>
  <c r="O98" i="1"/>
  <c r="G98" i="1"/>
  <c r="B98" i="1"/>
  <c r="M97" i="1"/>
  <c r="E97" i="1"/>
  <c r="Q96" i="1"/>
  <c r="J96" i="1"/>
  <c r="C96" i="1"/>
  <c r="D95" i="1"/>
  <c r="D94" i="1"/>
  <c r="E93" i="1"/>
  <c r="F92" i="1"/>
  <c r="F91" i="1"/>
  <c r="G90" i="1"/>
  <c r="B90" i="1"/>
  <c r="B89" i="1"/>
  <c r="C88" i="1"/>
  <c r="D87" i="1"/>
  <c r="D86" i="1"/>
  <c r="E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H15" i="6"/>
  <c r="M140" i="1"/>
  <c r="M136" i="1"/>
  <c r="O133" i="1"/>
  <c r="O129" i="1"/>
  <c r="S111" i="1"/>
  <c r="D109" i="1"/>
  <c r="R103" i="1"/>
  <c r="J103" i="1"/>
  <c r="C102" i="1"/>
  <c r="O101" i="1"/>
  <c r="F101" i="1"/>
  <c r="R100" i="1"/>
  <c r="M100" i="1"/>
  <c r="D100" i="1"/>
  <c r="P99" i="1"/>
  <c r="J99" i="1"/>
  <c r="B99" i="1"/>
  <c r="N98" i="1"/>
  <c r="F98" i="1"/>
  <c r="Q97" i="1"/>
  <c r="L97" i="1"/>
  <c r="D97" i="1"/>
  <c r="O96" i="1"/>
  <c r="G96" i="1"/>
  <c r="B96" i="1"/>
  <c r="B95" i="1"/>
  <c r="C94" i="1"/>
  <c r="D93" i="1"/>
  <c r="D92" i="1"/>
  <c r="E91" i="1"/>
  <c r="F90" i="1"/>
  <c r="F89" i="1"/>
  <c r="G88" i="1"/>
  <c r="B88" i="1"/>
  <c r="B87" i="1"/>
  <c r="C86" i="1"/>
  <c r="D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S139" i="1"/>
  <c r="S135" i="1"/>
  <c r="M133" i="1"/>
  <c r="M129" i="1"/>
  <c r="S127" i="1"/>
  <c r="M120" i="1"/>
  <c r="M118" i="1"/>
  <c r="M116" i="1"/>
  <c r="M111" i="1"/>
  <c r="F110" i="1"/>
  <c r="Q103" i="1"/>
  <c r="G102" i="1"/>
  <c r="B102" i="1"/>
  <c r="M101" i="1"/>
  <c r="E101" i="1"/>
  <c r="Q100" i="1"/>
  <c r="J100" i="1"/>
  <c r="C100" i="1"/>
  <c r="O99" i="1"/>
  <c r="F99" i="1"/>
  <c r="R98" i="1"/>
  <c r="M98" i="1"/>
  <c r="D98" i="1"/>
  <c r="P97" i="1"/>
  <c r="J97" i="1"/>
  <c r="B97" i="1"/>
  <c r="N96" i="1"/>
  <c r="F96" i="1"/>
  <c r="F95" i="1"/>
  <c r="G94" i="1"/>
  <c r="B94" i="1"/>
  <c r="B93" i="1"/>
  <c r="C92" i="1"/>
  <c r="D91" i="1"/>
  <c r="D90" i="1"/>
  <c r="E89" i="1"/>
  <c r="F88" i="1"/>
  <c r="F87" i="1"/>
  <c r="G86" i="1"/>
  <c r="B86"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G14" i="6"/>
  <c r="M138" i="1"/>
  <c r="S134" i="1"/>
  <c r="M132" i="1"/>
  <c r="M130" i="1"/>
  <c r="S128" i="1"/>
  <c r="D111" i="1"/>
  <c r="S109" i="1"/>
  <c r="N103" i="1"/>
  <c r="F102" i="1"/>
  <c r="Q101" i="1"/>
  <c r="L101" i="1"/>
  <c r="D101" i="1"/>
  <c r="O100" i="1"/>
  <c r="G100" i="1"/>
  <c r="B100" i="1"/>
  <c r="M99" i="1"/>
  <c r="E99" i="1"/>
  <c r="Q98" i="1"/>
  <c r="J98" i="1"/>
  <c r="C98" i="1"/>
  <c r="O97" i="1"/>
  <c r="F97" i="1"/>
  <c r="R96" i="1"/>
  <c r="M96" i="1"/>
  <c r="D96" i="1"/>
  <c r="E95" i="1"/>
  <c r="F94" i="1"/>
  <c r="F93" i="1"/>
  <c r="G92" i="1"/>
  <c r="B92" i="1"/>
  <c r="B91" i="1"/>
  <c r="C90" i="1"/>
  <c r="D89" i="1"/>
  <c r="D88" i="1"/>
  <c r="E87" i="1"/>
  <c r="F86" i="1"/>
  <c r="F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G63" i="1"/>
  <c r="E62" i="1"/>
  <c r="C61" i="1"/>
  <c r="G59" i="1"/>
  <c r="E58" i="1"/>
  <c r="C57" i="1"/>
  <c r="G55" i="1"/>
  <c r="E54" i="1"/>
  <c r="C53" i="1"/>
  <c r="G51" i="1"/>
  <c r="E50" i="1"/>
  <c r="C49" i="1"/>
  <c r="G47" i="1"/>
  <c r="E46" i="1"/>
  <c r="C45" i="1"/>
  <c r="G43" i="1"/>
  <c r="E42" i="1"/>
  <c r="D41" i="1"/>
  <c r="E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M26" i="1"/>
  <c r="D25" i="1"/>
  <c r="F24" i="1"/>
  <c r="D23" i="1"/>
  <c r="F22" i="1"/>
  <c r="J21" i="1"/>
  <c r="M20" i="1"/>
  <c r="O19" i="1"/>
  <c r="F18" i="1"/>
  <c r="J17" i="1"/>
  <c r="F16" i="1"/>
  <c r="D15" i="1"/>
  <c r="F14" i="1"/>
  <c r="B10" i="1"/>
  <c r="N19" i="1"/>
  <c r="L16" i="1"/>
  <c r="G15" i="1"/>
  <c r="F11" i="1"/>
  <c r="D63" i="1"/>
  <c r="B62" i="1"/>
  <c r="F60" i="1"/>
  <c r="D59" i="1"/>
  <c r="B58" i="1"/>
  <c r="F56" i="1"/>
  <c r="D55" i="1"/>
  <c r="B54" i="1"/>
  <c r="F52" i="1"/>
  <c r="D51" i="1"/>
  <c r="B50" i="1"/>
  <c r="F48" i="1"/>
  <c r="D47" i="1"/>
  <c r="B46" i="1"/>
  <c r="F44" i="1"/>
  <c r="D43" i="1"/>
  <c r="B42" i="1"/>
  <c r="C41"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D27" i="1"/>
  <c r="O25" i="1"/>
  <c r="Q24" i="1"/>
  <c r="B24" i="1"/>
  <c r="J23" i="1"/>
  <c r="B22" i="1"/>
  <c r="D21" i="1"/>
  <c r="F20" i="1"/>
  <c r="J19" i="1"/>
  <c r="O17" i="1"/>
  <c r="D17" i="1"/>
  <c r="M16" i="1"/>
  <c r="O15" i="1"/>
  <c r="B14" i="1"/>
  <c r="B8" i="1"/>
  <c r="E20" i="1"/>
  <c r="C19" i="1"/>
  <c r="R17" i="1"/>
  <c r="P16" i="1"/>
  <c r="R15" i="1"/>
  <c r="F9" i="1"/>
  <c r="C63" i="1"/>
  <c r="G61" i="1"/>
  <c r="E60" i="1"/>
  <c r="C59" i="1"/>
  <c r="G57" i="1"/>
  <c r="E56" i="1"/>
  <c r="C55" i="1"/>
  <c r="G53" i="1"/>
  <c r="E52" i="1"/>
  <c r="C51" i="1"/>
  <c r="G49" i="1"/>
  <c r="E48" i="1"/>
  <c r="C47" i="1"/>
  <c r="G45" i="1"/>
  <c r="E44" i="1"/>
  <c r="C43" i="1"/>
  <c r="G41" i="1"/>
  <c r="G40" i="1"/>
  <c r="B40" i="1"/>
  <c r="D39" i="1"/>
  <c r="F38" i="1"/>
  <c r="B38" i="1"/>
  <c r="D37" i="1"/>
  <c r="F36" i="1"/>
  <c r="B36" i="1"/>
  <c r="D35" i="1"/>
  <c r="F34" i="1"/>
  <c r="B34" i="1"/>
  <c r="D33" i="1"/>
  <c r="F32" i="1"/>
  <c r="B32" i="1"/>
  <c r="D31" i="1"/>
  <c r="F30" i="1"/>
  <c r="B30" i="1"/>
  <c r="O29" i="1"/>
  <c r="J29" i="1"/>
  <c r="D29" i="1"/>
  <c r="Q28" i="1"/>
  <c r="M28" i="1"/>
  <c r="F28" i="1"/>
  <c r="B28" i="1"/>
  <c r="O27" i="1"/>
  <c r="J27" i="1"/>
  <c r="Q26" i="1"/>
  <c r="F26" i="1"/>
  <c r="B26" i="1"/>
  <c r="J25" i="1"/>
  <c r="M24" i="1"/>
  <c r="O23" i="1"/>
  <c r="O21" i="1"/>
  <c r="Q20" i="1"/>
  <c r="B20" i="1"/>
  <c r="D19" i="1"/>
  <c r="B18" i="1"/>
  <c r="Q16" i="1"/>
  <c r="B16" i="1"/>
  <c r="J15" i="1"/>
  <c r="E5" i="1"/>
  <c r="C21" i="1"/>
  <c r="G19" i="1"/>
  <c r="N17" i="1"/>
  <c r="C17" i="1"/>
  <c r="N15" i="1"/>
  <c r="F7" i="1"/>
  <c r="F62" i="1"/>
  <c r="D61" i="1"/>
  <c r="B60" i="1"/>
  <c r="F58" i="1"/>
  <c r="D57" i="1"/>
  <c r="B56" i="1"/>
  <c r="F54" i="1"/>
  <c r="D53" i="1"/>
  <c r="B52" i="1"/>
  <c r="F50" i="1"/>
  <c r="D49" i="1"/>
  <c r="B48" i="1"/>
  <c r="F46" i="1"/>
  <c r="D45" i="1"/>
  <c r="B44" i="1"/>
  <c r="F42" i="1"/>
  <c r="E41" i="1"/>
  <c r="F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P20" i="1"/>
  <c r="L20" i="1"/>
  <c r="R19" i="1"/>
  <c r="E18" i="1"/>
  <c r="G17" i="1"/>
  <c r="E16" i="1"/>
  <c r="C15" i="1"/>
  <c r="E14" i="1"/>
  <c r="B5" i="1"/>
  <c r="M22" i="1" l="1"/>
  <c r="R22" i="1"/>
  <c r="H109" i="1"/>
  <c r="H118" i="1"/>
  <c r="B120" i="1"/>
  <c r="B122" i="1"/>
  <c r="H124" i="1"/>
  <c r="B128" i="1"/>
  <c r="N22" i="1"/>
  <c r="B111" i="1"/>
  <c r="B112" i="1"/>
  <c r="H117" i="1"/>
  <c r="B119" i="1"/>
  <c r="B123" i="1"/>
  <c r="H125" i="1"/>
  <c r="H129" i="1"/>
  <c r="O22" i="1"/>
  <c r="H111" i="1"/>
  <c r="D119" i="1"/>
  <c r="D123" i="1"/>
  <c r="B126" i="1"/>
  <c r="B130" i="1"/>
  <c r="J22" i="1"/>
  <c r="Q22" i="1"/>
  <c r="B109" i="1"/>
  <c r="D118" i="1"/>
  <c r="H121" i="1"/>
  <c r="D124" i="1"/>
  <c r="H127" i="1"/>
  <c r="H131" i="1"/>
  <c r="P2" i="6"/>
  <c r="B110" i="1"/>
  <c r="H112" i="1"/>
  <c r="B117" i="1"/>
  <c r="H119" i="1"/>
  <c r="D120" i="1"/>
  <c r="B121" i="1"/>
  <c r="D122" i="1"/>
  <c r="H123" i="1"/>
  <c r="B125" i="1"/>
  <c r="H126" i="1"/>
  <c r="H128" i="1"/>
  <c r="H130" i="1"/>
  <c r="L22" i="1"/>
  <c r="P22" i="1"/>
  <c r="H110" i="1"/>
  <c r="D117" i="1"/>
  <c r="B118" i="1"/>
  <c r="H120" i="1"/>
  <c r="D121" i="1"/>
  <c r="H122" i="1"/>
  <c r="B124" i="1"/>
  <c r="D125" i="1"/>
  <c r="B127" i="1"/>
  <c r="B129" i="1"/>
  <c r="B131" i="1"/>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23" i="6"/>
  <c r="J5" i="6"/>
  <c r="J18" i="6"/>
  <c r="J20" i="6"/>
  <c r="J6" i="6"/>
  <c r="J22" i="6"/>
  <c r="J19" i="6"/>
  <c r="J21" i="6"/>
  <c r="J7" i="6"/>
  <c r="J16" i="6"/>
  <c r="J9" i="6"/>
  <c r="J15" i="6"/>
  <c r="J8" i="6"/>
  <c r="J17" i="6"/>
</calcChain>
</file>

<file path=xl/sharedStrings.xml><?xml version="1.0" encoding="utf-8"?>
<sst xmlns="http://schemas.openxmlformats.org/spreadsheetml/2006/main" count="647" uniqueCount="240">
  <si>
    <t>q19041607.IB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</si>
  <si>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</si>
  <si>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</si>
  <si>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</si>
  <si>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</si>
  <si>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</si>
  <si>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</si>
  <si>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</si>
  <si>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</si>
  <si>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</si>
  <si>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</si>
  <si>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</si>
  <si>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</si>
  <si>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</si>
  <si>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</si>
  <si>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</si>
  <si>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</si>
  <si>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</si>
  <si>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</si>
  <si>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</si>
  <si>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</si>
  <si>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</si>
  <si>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</si>
  <si>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</si>
  <si>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</si>
  <si>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</si>
  <si>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</si>
  <si>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</si>
  <si>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</si>
  <si>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</si>
  <si>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</si>
  <si>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</si>
  <si>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</si>
  <si>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</si>
  <si>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</si>
  <si>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</si>
  <si>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</si>
  <si>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</si>
  <si>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</si>
  <si>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</si>
  <si>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</si>
  <si>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</si>
  <si>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</si>
  <si>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</si>
  <si>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</si>
  <si>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</si>
  <si>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</si>
  <si>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</si>
  <si>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</si>
  <si>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</si>
  <si>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</si>
  <si>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</si>
  <si>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</si>
  <si>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</si>
  <si>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</si>
  <si>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</si>
  <si>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</si>
  <si>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</si>
  <si>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</si>
  <si>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</si>
  <si>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</si>
  <si>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</si>
  <si>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</si>
  <si>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</si>
  <si>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</si>
  <si>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</si>
  <si>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</si>
  <si>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</si>
  <si>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</si>
  <si>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</si>
  <si>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</si>
  <si>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</si>
  <si>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</si>
  <si>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</si>
  <si>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</si>
  <si>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</si>
  <si>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</si>
  <si>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</si>
  <si>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</si>
  <si>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</si>
  <si>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</si>
  <si>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</si>
  <si>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</si>
  <si>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</si>
  <si>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</si>
  <si>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</si>
  <si>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</si>
  <si>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</si>
  <si>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</si>
  <si>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</si>
  <si>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</si>
  <si>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</si>
  <si>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</si>
  <si>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</si>
  <si>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</si>
  <si>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</si>
  <si>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</si>
  <si>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</si>
  <si>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</si>
  <si>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</si>
  <si>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</si>
  <si>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</si>
  <si>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</si>
  <si>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</si>
  <si>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</si>
  <si>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</si>
  <si>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</si>
  <si>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</si>
  <si>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</si>
  <si>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</si>
  <si>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</si>
  <si>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</si>
  <si>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</si>
  <si>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155277.SH</t>
  </si>
  <si>
    <t>20190321</t>
  </si>
  <si>
    <t>19川发01</t>
  </si>
  <si>
    <t>155278.SH</t>
  </si>
  <si>
    <t>19川发02</t>
  </si>
  <si>
    <t>143293.SH</t>
  </si>
  <si>
    <t>20180801</t>
  </si>
  <si>
    <t>18川发02</t>
  </si>
  <si>
    <t>101800682.IB</t>
  </si>
  <si>
    <t>20180612</t>
  </si>
  <si>
    <t>18川发展MTN001</t>
  </si>
  <si>
    <t>143562.SH</t>
  </si>
  <si>
    <t>20180601</t>
  </si>
  <si>
    <t>18川发01</t>
  </si>
  <si>
    <t>143360.SH</t>
  </si>
  <si>
    <t>20171023</t>
  </si>
  <si>
    <t>17川发01</t>
  </si>
  <si>
    <t>101759002.IB</t>
  </si>
  <si>
    <t>20170713</t>
  </si>
  <si>
    <t>17川发展MTN001</t>
  </si>
  <si>
    <t>136819.SH</t>
  </si>
  <si>
    <t>20161115</t>
  </si>
  <si>
    <t>16川发01</t>
  </si>
  <si>
    <t>101553028.IB</t>
  </si>
  <si>
    <t>20150923</t>
  </si>
  <si>
    <t>15川发展MTN002</t>
  </si>
  <si>
    <t>101558017.IB</t>
  </si>
  <si>
    <t>20150518</t>
  </si>
  <si>
    <t>15川发展MTN001</t>
  </si>
  <si>
    <t>1080142.IB</t>
  </si>
  <si>
    <t>20101110</t>
  </si>
  <si>
    <t>10川发展债02</t>
  </si>
  <si>
    <t>1080141.IB</t>
  </si>
  <si>
    <t>10川发展债01</t>
  </si>
  <si>
    <t>历史主体评级</t>
  </si>
  <si>
    <t>发布日期</t>
  </si>
  <si>
    <t>主体资信级别</t>
  </si>
  <si>
    <t>评级展望</t>
  </si>
  <si>
    <t>评级机构</t>
  </si>
  <si>
    <t>20190102</t>
  </si>
  <si>
    <t>AAA</t>
  </si>
  <si>
    <t>稳定</t>
  </si>
  <si>
    <t>中诚信证券评估有限公司</t>
  </si>
  <si>
    <t>20181221</t>
  </si>
  <si>
    <t>中诚信国际信用评级有限责任公司</t>
  </si>
  <si>
    <t>20180726</t>
  </si>
  <si>
    <t>20180711</t>
  </si>
  <si>
    <t>20180627</t>
  </si>
  <si>
    <t>20180523</t>
  </si>
  <si>
    <t>20180129</t>
  </si>
  <si>
    <t>20170912</t>
  </si>
  <si>
    <t>20170710</t>
  </si>
  <si>
    <t>20170628</t>
  </si>
  <si>
    <t>20161028</t>
  </si>
  <si>
    <t>20160628</t>
  </si>
  <si>
    <t>20150812</t>
  </si>
  <si>
    <t>20150311</t>
  </si>
  <si>
    <t>20140728</t>
  </si>
  <si>
    <t>20130731</t>
  </si>
  <si>
    <t>20121227</t>
  </si>
  <si>
    <t>20111212</t>
  </si>
  <si>
    <t>20100617</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</si>
  <si>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</si>
  <si>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</si>
  <si>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</si>
  <si>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</si>
  <si>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</si>
  <si>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</si>
  <si>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</si>
  <si>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</si>
  <si>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</si>
  <si>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</si>
  <si>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</si>
  <si>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</si>
  <si>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</si>
  <si>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</si>
  <si>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</si>
  <si>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</si>
  <si>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</si>
  <si>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</si>
  <si>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</si>
  <si>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</si>
  <si>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</si>
  <si>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</si>
  <si>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</si>
  <si>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</si>
  <si>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</si>
  <si>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</si>
  <si>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</si>
  <si>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</si>
  <si>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</si>
  <si>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</si>
  <si>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</si>
  <si>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</si>
  <si>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</si>
  <si>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</si>
  <si>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</si>
  <si>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</si>
  <si>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</si>
  <si>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</si>
  <si>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</si>
  <si>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</si>
  <si>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</si>
  <si>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</si>
  <si>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</si>
  <si>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</si>
  <si>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</si>
  <si>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</si>
  <si>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</si>
  <si>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</si>
  <si>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</si>
  <si>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</si>
  <si>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</si>
  <si>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</si>
  <si>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</si>
  <si>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</si>
  <si>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</si>
  <si>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</si>
  <si>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</si>
  <si>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</si>
  <si>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四川发展(控股)有限责任公司</t>
  </si>
  <si>
    <t>地方国有企业</t>
  </si>
  <si>
    <t>工业--资本货物--综合类Ⅲ--综合类行业</t>
  </si>
  <si>
    <t>四川省成都市高新区九兴大道12号</t>
  </si>
  <si>
    <t>公司是四川省政府按照“1+N”的模式，打造唯一的省级综合性投融资主体，肩负着引领各类资金投向，实现国有资产保值增值的重任，并承担着省委、省政府安排的灾后重建历史性任务。在四川省交通设施运营及建设、地方电力生产与供应行业具有绝对垄断地位，在传媒与文化行业占主导地位，在贸易等行业也具有重要影响力。公司具有较快的区域经济和财政实力增长速度，良好的区域发展环境,区域垄断的经营业务,有力的政府支持,资产质量较好.在特大桥梁、高速公路路面、隧道等方面具有较强的竞争优势，多项施工技术处于国内或世界先进水平，施工业绩处于行业领先.</t>
  </si>
  <si>
    <t>四川省人民政府国有资产监督管理委员会</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</si>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</sst>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四川发展(控股)有限责任公司</v>
      </c>
      <c r="C4" s="120"/>
      <c r="D4" s="57" t="s">
        <v>3</v>
      </c>
      <c r="E4" s="119" t="str">
        <f>[1]!s_info_nature(A2)</f>
        <v>地方国有企业</v>
      </c>
      <c r="F4" s="120"/>
      <c r="G4" s="120"/>
      <c r="H4" s="19"/>
    </row>
    <row r="5" spans="1:20" s="17" customFormat="1" ht="14.25" customHeight="1" x14ac:dyDescent="0.25">
      <c r="A5" s="57" t="s">
        <v>4</v>
      </c>
      <c r="B5" s="119" t="str">
        <f>[1]!b_issuer_windindustry(A2,9)</f>
        <v>工业--资本货物--综合类Ⅲ--综合类行业</v>
      </c>
      <c r="C5" s="120"/>
      <c r="D5" s="57" t="s">
        <v>5</v>
      </c>
      <c r="E5" s="119" t="str">
        <f>[1]!b_issuer_regaddress(A2)</f>
        <v>四川省成都市高新区九兴大道12号</v>
      </c>
      <c r="F5" s="120"/>
      <c r="G5" s="120"/>
    </row>
    <row r="6" spans="1:20" s="17" customFormat="1" ht="81" customHeight="1" x14ac:dyDescent="0.25">
      <c r="A6" s="57" t="s">
        <v>6</v>
      </c>
      <c r="B6" s="121" t="str">
        <f>[1]!s_info_briefing(A2)</f>
        <v>公司是四川省政府按照“1+N”的模式，打造唯一的省级综合性投融资主体，肩负着引领各类资金投向，实现国有资产保值增值的重任，并承担着省委、省政府安排的灾后重建历史性任务。在四川省交通设施运营及建设、地方电力生产与供应行业具有绝对垄断地位，在传媒与文化行业占主导地位，在贸易等行业也具有重要影响力。公司具有较快的区域经济和财政实力增长速度，良好的区域发展环境,区域垄断的经营业务,有力的政府支持,资产质量较好.在特大桥梁、高速公路路面、隧道等方面具有较强的竞争优势，多项施工技术处于国内或世界先进水平，施工业绩处于行业领先.</v>
      </c>
      <c r="C6" s="120"/>
      <c r="D6" s="120"/>
      <c r="E6" s="120"/>
      <c r="F6" s="120"/>
      <c r="G6" s="120"/>
    </row>
    <row r="7" spans="1:20" s="17" customFormat="1" x14ac:dyDescent="0.25">
      <c r="A7" s="59" t="s">
        <v>7</v>
      </c>
      <c r="B7" s="122" t="str">
        <f>[1]!b_issuer_shareholder(A2,"",1)</f>
        <v>四川省人民政府国有资产监督管理委员会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q19041607.IB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四川发展(控股)有限责任公司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9060.9173604795997</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0.70948199999999995</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1.4007000000000001</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2.0060695782517444</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3.8699999999999998E-2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1701.0118060979999</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0.94230000000000003</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0.13569599999999998</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33.940991652199997</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1.34E-4</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45.612009743800002</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36777633820.339996</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2513784554.2399998</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39079857931.07</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405749924786.90002</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43948939742.129997</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263236204047.76001</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q19041607.IB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0.70948199999999995</v>
      </c>
      <c r="C109" s="54" t="s">
        <v>29</v>
      </c>
      <c r="D109" s="72">
        <f>[1]!s_fa_current(A2,B2)</f>
        <v>1.4007000000000001</v>
      </c>
      <c r="E109" s="54" t="s">
        <v>33</v>
      </c>
      <c r="F109" s="73">
        <f>[1]!s_fa_salescashintoor(A2,B2)/100</f>
        <v>0.94230000000000003</v>
      </c>
      <c r="G109" s="54" t="s">
        <v>34</v>
      </c>
      <c r="H109" s="12">
        <f>S109/100</f>
        <v>0.13569599999999998</v>
      </c>
      <c r="I109" s="54"/>
      <c r="J109" s="16"/>
      <c r="K109" s="25"/>
      <c r="L109" s="34" t="s">
        <v>53</v>
      </c>
      <c r="M109" s="74">
        <f>[1]!s_fa_debttoassets(A2,B2)</f>
        <v>70.9482</v>
      </c>
      <c r="N109" s="54" t="s">
        <v>29</v>
      </c>
      <c r="O109" s="35"/>
      <c r="P109" s="54" t="s">
        <v>33</v>
      </c>
      <c r="Q109" s="35"/>
      <c r="R109" s="54" t="s">
        <v>34</v>
      </c>
      <c r="S109" s="75">
        <f>[1]!s_fa_grossprofitmargin(A2,B2)</f>
        <v>13.569599999999999</v>
      </c>
    </row>
    <row r="110" spans="1:19" ht="15.75" customHeight="1" x14ac:dyDescent="0.25">
      <c r="A110" s="54" t="s">
        <v>54</v>
      </c>
      <c r="B110" s="12">
        <f>M110/100</f>
        <v>0.23732500000000001</v>
      </c>
      <c r="C110" s="54" t="s">
        <v>55</v>
      </c>
      <c r="D110" s="73">
        <f>[1]!s_fa_quick(A2,B2)</f>
        <v>1.1088</v>
      </c>
      <c r="E110" s="54" t="s">
        <v>56</v>
      </c>
      <c r="F110" s="72">
        <f>[1]!s_fa_arturn(A2,B2)</f>
        <v>13.829800000000001</v>
      </c>
      <c r="G110" s="54" t="s">
        <v>57</v>
      </c>
      <c r="H110" s="12">
        <f>S110/100</f>
        <v>2.3035E-2</v>
      </c>
      <c r="I110" s="54"/>
      <c r="J110" s="16"/>
      <c r="L110" s="54" t="s">
        <v>54</v>
      </c>
      <c r="M110" s="74">
        <f>[1]!s_fa_catoassets(A2,B2)</f>
        <v>23.732500000000002</v>
      </c>
      <c r="N110" s="54" t="s">
        <v>55</v>
      </c>
      <c r="O110" s="35"/>
      <c r="P110" s="54" t="s">
        <v>56</v>
      </c>
      <c r="Q110" s="73"/>
      <c r="R110" s="54" t="s">
        <v>57</v>
      </c>
      <c r="S110" s="75">
        <f>[1]!s_fa_optogr(A2,B2)</f>
        <v>2.3035000000000001</v>
      </c>
    </row>
    <row r="111" spans="1:19" ht="15" customHeight="1" x14ac:dyDescent="0.25">
      <c r="A111" s="54" t="s">
        <v>58</v>
      </c>
      <c r="B111" s="12">
        <f>M111/100</f>
        <v>0.23880500000000002</v>
      </c>
      <c r="C111" s="54" t="s">
        <v>31</v>
      </c>
      <c r="D111" s="73">
        <f>[1]!s_fa_ebitdatodebt(A2,B2)</f>
        <v>3.8699999999999998E-2</v>
      </c>
      <c r="E111" s="54" t="s">
        <v>59</v>
      </c>
      <c r="F111" s="72">
        <f>[1]!s_fa_invturn(A2,B2)</f>
        <v>3.6659999999999999</v>
      </c>
      <c r="G111" s="54" t="s">
        <v>37</v>
      </c>
      <c r="H111" s="12">
        <f>S111/100</f>
        <v>1.34E-4</v>
      </c>
      <c r="I111" s="54"/>
      <c r="J111" s="16"/>
      <c r="L111" s="54" t="s">
        <v>58</v>
      </c>
      <c r="M111" s="74">
        <f>[1]!s_fa_currentdebttodebt(A2,B2)</f>
        <v>23.880500000000001</v>
      </c>
      <c r="N111" s="54" t="s">
        <v>31</v>
      </c>
      <c r="O111" s="35"/>
      <c r="P111" s="54" t="s">
        <v>59</v>
      </c>
      <c r="Q111" s="35"/>
      <c r="R111" s="54" t="s">
        <v>37</v>
      </c>
      <c r="S111" s="75">
        <f>[1]!s_fa_roe(A2,B2)</f>
        <v>1.34E-2</v>
      </c>
    </row>
    <row r="112" spans="1:19" ht="14.25" customHeight="1" x14ac:dyDescent="0.25">
      <c r="A112" s="54" t="s">
        <v>30</v>
      </c>
      <c r="B112" s="76">
        <f>(M116+M117+M118+M119+M120+M121)/M123</f>
        <v>2.0060695782517444</v>
      </c>
      <c r="C112" s="54" t="s">
        <v>60</v>
      </c>
      <c r="D112" s="73">
        <f>[1]!s_fa_ebittointerest(A2,B2)</f>
        <v>1.2978000000000001</v>
      </c>
      <c r="E112" s="54" t="s">
        <v>61</v>
      </c>
      <c r="F112" s="72">
        <f>[1]!s_fa_caturn(A2,B2)</f>
        <v>0.87649999999999995</v>
      </c>
      <c r="G112" s="54" t="s">
        <v>62</v>
      </c>
      <c r="H112" s="12">
        <f>S112/100</f>
        <v>2.1297999999999997E-2</v>
      </c>
      <c r="I112" s="54"/>
      <c r="J112" s="16"/>
      <c r="L112" s="54" t="s">
        <v>30</v>
      </c>
      <c r="M112" s="77"/>
      <c r="N112" s="54" t="s">
        <v>60</v>
      </c>
      <c r="O112" s="35"/>
      <c r="P112" s="54" t="s">
        <v>61</v>
      </c>
      <c r="Q112" s="35"/>
      <c r="R112" s="54" t="s">
        <v>62</v>
      </c>
      <c r="S112" s="75">
        <f>[1]!s_fa_roa2(A2,B2)</f>
        <v>2.1297999999999999</v>
      </c>
    </row>
    <row r="113" spans="1:21" x14ac:dyDescent="0.25">
      <c r="A113" s="30"/>
      <c r="B113" s="31"/>
      <c r="C113" s="30"/>
      <c r="D113" s="32"/>
      <c r="E113" s="30" t="s">
        <v>63</v>
      </c>
      <c r="F113" s="78">
        <f>[1]!s_fa_dupont_faturnover(A2,B2)</f>
        <v>0.20480000000000001</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36777633820.339996</v>
      </c>
    </row>
    <row r="117" spans="1:21" ht="14.25" customHeight="1" x14ac:dyDescent="0.25">
      <c r="A117" s="54" t="s">
        <v>69</v>
      </c>
      <c r="B117" s="73">
        <f t="shared" ref="B117:B131" si="1">M127/100000000</f>
        <v>946.13328196600003</v>
      </c>
      <c r="C117" s="54" t="s">
        <v>70</v>
      </c>
      <c r="D117" s="76">
        <f t="shared" ref="D117:D125" si="2">O127/100000000</f>
        <v>1701.7389052322001</v>
      </c>
      <c r="E117" s="131" t="s">
        <v>71</v>
      </c>
      <c r="F117" s="124"/>
      <c r="G117" s="124"/>
      <c r="H117" s="132">
        <f t="shared" ref="H117:H131" si="3">S127/100000000</f>
        <v>1602.8729858103</v>
      </c>
      <c r="I117" s="124"/>
      <c r="J117" s="124"/>
      <c r="L117" s="17" t="s">
        <v>40</v>
      </c>
      <c r="M117" s="71">
        <f>[1]!b_stm07_bs(K107,82,L107,1)</f>
        <v>2513784554.2399998</v>
      </c>
    </row>
    <row r="118" spans="1:21" ht="14.25" customHeight="1" x14ac:dyDescent="0.25">
      <c r="A118" s="54" t="s">
        <v>72</v>
      </c>
      <c r="B118" s="73">
        <f t="shared" si="1"/>
        <v>147.00727554969998</v>
      </c>
      <c r="C118" s="54" t="s">
        <v>73</v>
      </c>
      <c r="D118" s="76">
        <f t="shared" si="2"/>
        <v>1712.1992610207001</v>
      </c>
      <c r="E118" s="131" t="s">
        <v>74</v>
      </c>
      <c r="F118" s="124"/>
      <c r="G118" s="124"/>
      <c r="H118" s="132">
        <f t="shared" si="3"/>
        <v>355.83967403779997</v>
      </c>
      <c r="I118" s="124"/>
      <c r="J118" s="124"/>
      <c r="L118" s="17" t="s">
        <v>41</v>
      </c>
      <c r="M118" s="71">
        <f>[1]!b_stm07_bs(K107,88,L107,1)</f>
        <v>39079857931.07</v>
      </c>
    </row>
    <row r="119" spans="1:21" ht="14.25" customHeight="1" x14ac:dyDescent="0.25">
      <c r="A119" s="54" t="s">
        <v>75</v>
      </c>
      <c r="B119" s="73">
        <f t="shared" si="1"/>
        <v>299.81272659140001</v>
      </c>
      <c r="C119" s="54" t="s">
        <v>76</v>
      </c>
      <c r="D119" s="76">
        <f t="shared" si="2"/>
        <v>1470.190601389</v>
      </c>
      <c r="E119" s="131" t="s">
        <v>77</v>
      </c>
      <c r="F119" s="124"/>
      <c r="G119" s="124"/>
      <c r="H119" s="133">
        <f t="shared" si="3"/>
        <v>1968.6725897445001</v>
      </c>
      <c r="I119" s="124"/>
      <c r="J119" s="124"/>
      <c r="L119" s="17" t="s">
        <v>42</v>
      </c>
      <c r="M119" s="71">
        <f>[1]!b_stm07_bs(K107,147,L107,1)</f>
        <v>0</v>
      </c>
    </row>
    <row r="120" spans="1:21" ht="14.25" customHeight="1" x14ac:dyDescent="0.25">
      <c r="A120" s="54" t="s">
        <v>78</v>
      </c>
      <c r="B120" s="73">
        <f t="shared" si="1"/>
        <v>2326.623281789</v>
      </c>
      <c r="C120" s="54" t="s">
        <v>79</v>
      </c>
      <c r="D120" s="76">
        <f t="shared" si="2"/>
        <v>20.5704063401</v>
      </c>
      <c r="E120" s="131" t="s">
        <v>80</v>
      </c>
      <c r="F120" s="124"/>
      <c r="G120" s="124"/>
      <c r="H120" s="132">
        <f t="shared" si="3"/>
        <v>1403.6121568513001</v>
      </c>
      <c r="I120" s="124"/>
      <c r="J120" s="124"/>
      <c r="L120" s="17" t="s">
        <v>43</v>
      </c>
      <c r="M120" s="71">
        <f>[1]!b_stm07_bs(K107,94,L107,1)</f>
        <v>405749924786.90002</v>
      </c>
    </row>
    <row r="121" spans="1:21" ht="14.25" customHeight="1" x14ac:dyDescent="0.25">
      <c r="A121" s="54" t="s">
        <v>81</v>
      </c>
      <c r="B121" s="73">
        <f t="shared" si="1"/>
        <v>658.91000950900002</v>
      </c>
      <c r="C121" s="54" t="s">
        <v>82</v>
      </c>
      <c r="D121" s="76">
        <f t="shared" si="2"/>
        <v>65.501081675400002</v>
      </c>
      <c r="E121" s="131" t="s">
        <v>83</v>
      </c>
      <c r="F121" s="124"/>
      <c r="G121" s="124"/>
      <c r="H121" s="132">
        <f t="shared" si="3"/>
        <v>359.57981280029998</v>
      </c>
      <c r="I121" s="124"/>
      <c r="J121" s="124"/>
      <c r="L121" s="17" t="s">
        <v>44</v>
      </c>
      <c r="M121" s="71">
        <f>[1]!b_stm07_bs(K107,95,L107,1)</f>
        <v>43948939742.129997</v>
      </c>
    </row>
    <row r="122" spans="1:21" ht="14.25" customHeight="1" x14ac:dyDescent="0.25">
      <c r="A122" s="54" t="s">
        <v>84</v>
      </c>
      <c r="B122" s="73">
        <f t="shared" si="1"/>
        <v>1386.2733539108999</v>
      </c>
      <c r="C122" s="54" t="s">
        <v>85</v>
      </c>
      <c r="D122" s="76">
        <f t="shared" si="2"/>
        <v>134.50901637139998</v>
      </c>
      <c r="E122" s="131" t="s">
        <v>86</v>
      </c>
      <c r="F122" s="124"/>
      <c r="G122" s="124"/>
      <c r="H122" s="133">
        <f t="shared" si="3"/>
        <v>1923.0605800007002</v>
      </c>
      <c r="I122" s="124"/>
      <c r="J122" s="124"/>
      <c r="L122" s="17"/>
      <c r="M122" s="17"/>
    </row>
    <row r="123" spans="1:21" ht="14.25" customHeight="1" x14ac:dyDescent="0.25">
      <c r="A123" s="54" t="s">
        <v>87</v>
      </c>
      <c r="B123" s="79">
        <f t="shared" si="1"/>
        <v>9060.9173604795997</v>
      </c>
      <c r="C123" s="54" t="s">
        <v>88</v>
      </c>
      <c r="D123" s="76">
        <f t="shared" si="2"/>
        <v>39.199223101500003</v>
      </c>
      <c r="E123" s="131" t="s">
        <v>89</v>
      </c>
      <c r="F123" s="124"/>
      <c r="G123" s="124"/>
      <c r="H123" s="133">
        <f t="shared" si="3"/>
        <v>45.612009743800002</v>
      </c>
      <c r="I123" s="124"/>
      <c r="J123" s="124"/>
      <c r="L123" s="17" t="s">
        <v>45</v>
      </c>
      <c r="M123" s="71">
        <f>[1]!b_stm07_bs(K107,141,L107,1)</f>
        <v>263236204047.76001</v>
      </c>
    </row>
    <row r="124" spans="1:21" ht="14.25" customHeight="1" x14ac:dyDescent="0.25">
      <c r="A124" s="54" t="s">
        <v>90</v>
      </c>
      <c r="B124" s="73">
        <f t="shared" si="1"/>
        <v>367.77633820339997</v>
      </c>
      <c r="C124" s="54" t="s">
        <v>91</v>
      </c>
      <c r="D124" s="76">
        <f t="shared" si="2"/>
        <v>40.611678097399995</v>
      </c>
      <c r="E124" s="131" t="s">
        <v>92</v>
      </c>
      <c r="F124" s="124"/>
      <c r="G124" s="124"/>
      <c r="H124" s="133">
        <f t="shared" si="3"/>
        <v>-743.65402571839991</v>
      </c>
      <c r="I124" s="124"/>
      <c r="J124" s="124"/>
      <c r="L124" s="17"/>
      <c r="M124" s="17"/>
    </row>
    <row r="125" spans="1:21" ht="27" customHeight="1" x14ac:dyDescent="0.25">
      <c r="A125" s="54" t="s">
        <v>93</v>
      </c>
      <c r="B125" s="73">
        <f t="shared" si="1"/>
        <v>390.79857931070001</v>
      </c>
      <c r="C125" s="54" t="s">
        <v>35</v>
      </c>
      <c r="D125" s="76">
        <f t="shared" si="2"/>
        <v>33.940991652199997</v>
      </c>
      <c r="E125" s="131" t="s">
        <v>94</v>
      </c>
      <c r="F125" s="124"/>
      <c r="G125" s="124"/>
      <c r="H125" s="132">
        <f t="shared" si="3"/>
        <v>189.81618073529998</v>
      </c>
      <c r="I125" s="124"/>
      <c r="J125" s="124"/>
      <c r="L125" s="17"/>
      <c r="M125" s="17"/>
    </row>
    <row r="126" spans="1:21" ht="16.5" customHeight="1" x14ac:dyDescent="0.25">
      <c r="A126" s="54" t="s">
        <v>95</v>
      </c>
      <c r="B126" s="73">
        <f t="shared" si="1"/>
        <v>0</v>
      </c>
      <c r="C126" s="54"/>
      <c r="D126" s="80"/>
      <c r="E126" s="131" t="s">
        <v>96</v>
      </c>
      <c r="F126" s="124"/>
      <c r="G126" s="124"/>
      <c r="H126" s="132">
        <f t="shared" si="3"/>
        <v>1572.8509461501001</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4057.4992478690001</v>
      </c>
      <c r="C127" s="54"/>
      <c r="D127" s="80"/>
      <c r="E127" s="131" t="s">
        <v>98</v>
      </c>
      <c r="F127" s="124"/>
      <c r="G127" s="124"/>
      <c r="H127" s="132">
        <f t="shared" si="3"/>
        <v>89.97</v>
      </c>
      <c r="I127" s="124"/>
      <c r="J127" s="124"/>
      <c r="L127" s="54" t="s">
        <v>69</v>
      </c>
      <c r="M127" s="75">
        <f>[1]!b_stm07_bs(K107,9,L107,1)</f>
        <v>94613328196.600006</v>
      </c>
      <c r="N127" s="54" t="s">
        <v>70</v>
      </c>
      <c r="O127" s="75">
        <f>[1]!b_stm07_is(K107,83,L107,1)</f>
        <v>170173890523.22</v>
      </c>
      <c r="P127" s="131" t="s">
        <v>71</v>
      </c>
      <c r="Q127" s="124"/>
      <c r="R127" s="124"/>
      <c r="S127" s="136">
        <f>[1]!b_stm07_cs(K107,9,L107,1)</f>
        <v>160287298581.03</v>
      </c>
      <c r="T127" s="135"/>
      <c r="U127" s="135"/>
    </row>
    <row r="128" spans="1:21" ht="14.25" customHeight="1" x14ac:dyDescent="0.25">
      <c r="A128" s="54" t="s">
        <v>99</v>
      </c>
      <c r="B128" s="73">
        <f t="shared" si="1"/>
        <v>439.4893974213</v>
      </c>
      <c r="C128" s="54"/>
      <c r="D128" s="80"/>
      <c r="E128" s="131" t="s">
        <v>100</v>
      </c>
      <c r="F128" s="124"/>
      <c r="G128" s="124"/>
      <c r="H128" s="133">
        <f t="shared" si="3"/>
        <v>2165.5268313924998</v>
      </c>
      <c r="I128" s="124"/>
      <c r="J128" s="124"/>
      <c r="L128" s="54" t="s">
        <v>72</v>
      </c>
      <c r="M128" s="75">
        <f>[1]!b_stm07_bs(K107,12,L107,1)</f>
        <v>14700727554.969999</v>
      </c>
      <c r="N128" s="54" t="s">
        <v>73</v>
      </c>
      <c r="O128" s="75">
        <f>[1]!b_stm07_is(K107,84,L107,1)</f>
        <v>171219926102.07001</v>
      </c>
      <c r="P128" s="131" t="s">
        <v>74</v>
      </c>
      <c r="Q128" s="124"/>
      <c r="R128" s="124"/>
      <c r="S128" s="136">
        <f>[1]!b_stm07_cs(K107,11,L107,1)</f>
        <v>35583967403.779999</v>
      </c>
      <c r="T128" s="135"/>
      <c r="U128" s="135"/>
    </row>
    <row r="129" spans="1:21" ht="14.25" customHeight="1" x14ac:dyDescent="0.25">
      <c r="A129" s="54" t="s">
        <v>101</v>
      </c>
      <c r="B129" s="79">
        <f t="shared" si="1"/>
        <v>6428.5553200019995</v>
      </c>
      <c r="C129" s="14"/>
      <c r="D129" s="13"/>
      <c r="E129" s="131" t="s">
        <v>102</v>
      </c>
      <c r="F129" s="124"/>
      <c r="G129" s="124"/>
      <c r="H129" s="132">
        <f t="shared" si="3"/>
        <v>925.23821434270008</v>
      </c>
      <c r="I129" s="124"/>
      <c r="J129" s="124"/>
      <c r="L129" s="54" t="s">
        <v>75</v>
      </c>
      <c r="M129" s="75">
        <f>[1]!b_stm07_bs(K107,13,L107,1)</f>
        <v>29981272659.139999</v>
      </c>
      <c r="N129" s="54" t="s">
        <v>76</v>
      </c>
      <c r="O129" s="75">
        <f>[1]!b_stm07_is(K107,10,L107,1)</f>
        <v>147019060138.89999</v>
      </c>
      <c r="P129" s="131" t="s">
        <v>77</v>
      </c>
      <c r="Q129" s="124"/>
      <c r="R129" s="124"/>
      <c r="S129" s="137">
        <f>[1]!b_stm07_cs(K107,25,L107,1)</f>
        <v>196867258974.45001</v>
      </c>
      <c r="T129" s="135"/>
      <c r="U129" s="135"/>
    </row>
    <row r="130" spans="1:21" ht="14.25" customHeight="1" x14ac:dyDescent="0.25">
      <c r="A130" s="54" t="s">
        <v>103</v>
      </c>
      <c r="B130" s="79">
        <f t="shared" si="1"/>
        <v>2632.3620404776002</v>
      </c>
      <c r="C130" s="14"/>
      <c r="D130" s="13"/>
      <c r="E130" s="131" t="s">
        <v>104</v>
      </c>
      <c r="F130" s="124"/>
      <c r="G130" s="124"/>
      <c r="H130" s="132">
        <f t="shared" si="3"/>
        <v>1335.620173217</v>
      </c>
      <c r="I130" s="124"/>
      <c r="J130" s="124"/>
      <c r="L130" s="54" t="s">
        <v>78</v>
      </c>
      <c r="M130" s="75">
        <f>[1]!b_stm07_bs(K107,31,L107,1)</f>
        <v>232662328178.89999</v>
      </c>
      <c r="N130" s="54" t="s">
        <v>79</v>
      </c>
      <c r="O130" s="75">
        <f>[1]!b_stm07_is(K107,12,L107,1)</f>
        <v>2057040634.01</v>
      </c>
      <c r="P130" s="131" t="s">
        <v>80</v>
      </c>
      <c r="Q130" s="124"/>
      <c r="R130" s="124"/>
      <c r="S130" s="136">
        <f>[1]!b_stm07_cs(K107,26,L107,1)</f>
        <v>140361215685.13</v>
      </c>
      <c r="T130" s="135"/>
      <c r="U130" s="135"/>
    </row>
    <row r="131" spans="1:21" ht="14.25" customHeight="1" x14ac:dyDescent="0.25">
      <c r="A131" s="15" t="s">
        <v>105</v>
      </c>
      <c r="B131" s="79">
        <f t="shared" si="1"/>
        <v>9060.9173604795997</v>
      </c>
      <c r="C131" s="14"/>
      <c r="D131" s="13"/>
      <c r="E131" s="131" t="s">
        <v>106</v>
      </c>
      <c r="F131" s="124"/>
      <c r="G131" s="124"/>
      <c r="H131" s="133">
        <f t="shared" si="3"/>
        <v>829.90665817550007</v>
      </c>
      <c r="I131" s="124"/>
      <c r="J131" s="124"/>
      <c r="L131" s="54" t="s">
        <v>81</v>
      </c>
      <c r="M131" s="75">
        <f>[1]!b_stm07_bs(K107,33,L107,1)</f>
        <v>65891000950.900002</v>
      </c>
      <c r="N131" s="54" t="s">
        <v>82</v>
      </c>
      <c r="O131" s="75">
        <f>[1]!b_stm07_is(K107,13,L107,1)</f>
        <v>6550108167.54</v>
      </c>
      <c r="P131" s="131" t="s">
        <v>83</v>
      </c>
      <c r="Q131" s="124"/>
      <c r="R131" s="124"/>
      <c r="S131" s="136">
        <f>[1]!b_stm07_cs(K107,29,L107,1)</f>
        <v>35957981280.029999</v>
      </c>
      <c r="T131" s="135"/>
      <c r="U131" s="135"/>
    </row>
    <row r="132" spans="1:21" x14ac:dyDescent="0.25">
      <c r="L132" s="54" t="s">
        <v>84</v>
      </c>
      <c r="M132" s="75">
        <f>[1]!b_stm07_bs(K107,37,L107,1)</f>
        <v>138627335391.09</v>
      </c>
      <c r="N132" s="54" t="s">
        <v>85</v>
      </c>
      <c r="O132" s="75">
        <f>[1]!b_stm07_is(K107,14,L107,1)</f>
        <v>13450901637.139999</v>
      </c>
      <c r="P132" s="131" t="s">
        <v>86</v>
      </c>
      <c r="Q132" s="124"/>
      <c r="R132" s="124"/>
      <c r="S132" s="137">
        <f>[1]!b_stm07_cs(K107,37,L107,1)</f>
        <v>192306058000.07001</v>
      </c>
      <c r="T132" s="135"/>
      <c r="U132" s="135"/>
    </row>
    <row r="133" spans="1:21" x14ac:dyDescent="0.25">
      <c r="L133" s="54" t="s">
        <v>87</v>
      </c>
      <c r="M133" s="81">
        <f>[1]!b_stm07_bs(K107,74,L107,1)</f>
        <v>906091736047.95996</v>
      </c>
      <c r="N133" s="54" t="s">
        <v>88</v>
      </c>
      <c r="O133" s="75">
        <f>[1]!b_stm07_is(K107,48,L107,1)</f>
        <v>3919922310.1500001</v>
      </c>
      <c r="P133" s="131" t="s">
        <v>89</v>
      </c>
      <c r="Q133" s="124"/>
      <c r="R133" s="124"/>
      <c r="S133" s="137">
        <f>[1]!b_stm07_cs(K107,39,L107,1)</f>
        <v>4561200974.3800001</v>
      </c>
      <c r="T133" s="135"/>
      <c r="U133" s="135"/>
    </row>
    <row r="134" spans="1:21" x14ac:dyDescent="0.25">
      <c r="L134" s="54" t="s">
        <v>90</v>
      </c>
      <c r="M134" s="75">
        <f>[1]!b_stm07_bs(K107,75,L107,1)</f>
        <v>36777633820.339996</v>
      </c>
      <c r="N134" s="54" t="s">
        <v>91</v>
      </c>
      <c r="O134" s="75">
        <f>[1]!b_stm07_is(K107,55,L107,1)</f>
        <v>4061167809.7399998</v>
      </c>
      <c r="P134" s="131" t="s">
        <v>92</v>
      </c>
      <c r="Q134" s="124"/>
      <c r="R134" s="124"/>
      <c r="S134" s="137">
        <f>[1]!b_stm07_cs(K107,59,L107,1)</f>
        <v>-74365402571.839996</v>
      </c>
      <c r="T134" s="135"/>
      <c r="U134" s="135"/>
    </row>
    <row r="135" spans="1:21" ht="32.4" customHeight="1" x14ac:dyDescent="0.25">
      <c r="L135" s="54" t="s">
        <v>93</v>
      </c>
      <c r="M135" s="75">
        <f>[1]!b_stm07_bs(K107,88,L107,1)</f>
        <v>39079857931.07</v>
      </c>
      <c r="N135" s="54" t="s">
        <v>35</v>
      </c>
      <c r="O135" s="75">
        <f>[1]!b_stm07_is(K107,60,L107,1)</f>
        <v>3394099165.2199998</v>
      </c>
      <c r="P135" s="131" t="s">
        <v>94</v>
      </c>
      <c r="Q135" s="124"/>
      <c r="R135" s="124"/>
      <c r="S135" s="136">
        <f>[1]!b_stm07_cs(K107,60,L107,1)</f>
        <v>18981618073.529999</v>
      </c>
      <c r="T135" s="135"/>
      <c r="U135" s="135"/>
    </row>
    <row r="136" spans="1:21" ht="21.6" customHeight="1" x14ac:dyDescent="0.25">
      <c r="L136" s="54" t="s">
        <v>95</v>
      </c>
      <c r="M136" s="75">
        <f>[1]!b_stm07_bs(K107,147,L107,1)</f>
        <v>0</v>
      </c>
      <c r="N136" s="54"/>
      <c r="O136" s="80"/>
      <c r="P136" s="131" t="s">
        <v>96</v>
      </c>
      <c r="Q136" s="124"/>
      <c r="R136" s="124"/>
      <c r="S136" s="136">
        <f>[1]!b_stm07_cs(K107,61,L107,1)</f>
        <v>157285094615.01001</v>
      </c>
      <c r="T136" s="135"/>
      <c r="U136" s="135"/>
    </row>
    <row r="137" spans="1:21" x14ac:dyDescent="0.25">
      <c r="L137" s="54" t="s">
        <v>97</v>
      </c>
      <c r="M137" s="75">
        <f>[1]!b_stm07_bs(K107,94,L107,1)</f>
        <v>405749924786.90002</v>
      </c>
      <c r="N137" s="54"/>
      <c r="O137" s="80"/>
      <c r="P137" s="131" t="s">
        <v>98</v>
      </c>
      <c r="Q137" s="124"/>
      <c r="R137" s="124"/>
      <c r="S137" s="136">
        <f>[1]!b_stm07_cs(K107,63,L107,1)</f>
        <v>8997000000</v>
      </c>
      <c r="T137" s="135"/>
      <c r="U137" s="135"/>
    </row>
    <row r="138" spans="1:21" x14ac:dyDescent="0.25">
      <c r="L138" s="54" t="s">
        <v>99</v>
      </c>
      <c r="M138" s="75">
        <f>[1]!b_stm07_bs(K107,95,L107,1)</f>
        <v>43948939742.129997</v>
      </c>
      <c r="N138" s="54"/>
      <c r="O138" s="80"/>
      <c r="P138" s="131" t="s">
        <v>100</v>
      </c>
      <c r="Q138" s="124"/>
      <c r="R138" s="124"/>
      <c r="S138" s="137">
        <f>[1]!b_stm07_cs(K107,68,L107,1)</f>
        <v>216552683139.25</v>
      </c>
      <c r="T138" s="135"/>
      <c r="U138" s="135"/>
    </row>
    <row r="139" spans="1:21" x14ac:dyDescent="0.25">
      <c r="L139" s="54" t="s">
        <v>101</v>
      </c>
      <c r="M139" s="81">
        <f>[1]!b_stm07_bs(K107,128,L107,1)</f>
        <v>642855532000.19995</v>
      </c>
      <c r="N139" s="14"/>
      <c r="O139" s="13"/>
      <c r="P139" s="131" t="s">
        <v>102</v>
      </c>
      <c r="Q139" s="124"/>
      <c r="R139" s="124"/>
      <c r="S139" s="136">
        <f>[1]!b_stm07_cs(K107,69,L107,1)</f>
        <v>92523821434.270004</v>
      </c>
      <c r="T139" s="135"/>
      <c r="U139" s="135"/>
    </row>
    <row r="140" spans="1:21" ht="21.6" customHeight="1" x14ac:dyDescent="0.25">
      <c r="L140" s="54" t="s">
        <v>103</v>
      </c>
      <c r="M140" s="81">
        <f>[1]!b_stm07_bs(K107,141,L107,1)</f>
        <v>263236204047.76001</v>
      </c>
      <c r="N140" s="14"/>
      <c r="O140" s="13"/>
      <c r="P140" s="131" t="s">
        <v>104</v>
      </c>
      <c r="Q140" s="124"/>
      <c r="R140" s="124"/>
      <c r="S140" s="136">
        <f>[1]!b_stm07_cs(K107,75,L107,1)</f>
        <v>133562017321.7</v>
      </c>
      <c r="T140" s="135"/>
      <c r="U140" s="135"/>
    </row>
    <row r="141" spans="1:21" ht="21.6" customHeight="1" x14ac:dyDescent="0.25">
      <c r="L141" s="15" t="s">
        <v>105</v>
      </c>
      <c r="M141" s="81">
        <f>[1]!b_stm07_bs(K107,145,L107,1)</f>
        <v>906091736047.95996</v>
      </c>
      <c r="N141" s="14"/>
      <c r="O141" s="13"/>
      <c r="P141" s="131" t="s">
        <v>106</v>
      </c>
      <c r="Q141" s="124"/>
      <c r="R141" s="124"/>
      <c r="S141" s="137">
        <f>[1]!b_stm07_cs(K107,77,L107,1)</f>
        <v>82990665817.550003</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233</v>
      </c>
      <c r="C2" s="120"/>
      <c r="D2" s="57" t="s">
        <v>3</v>
      </c>
      <c r="E2" s="119" t="s">
        <v>234</v>
      </c>
      <c r="F2" s="120"/>
      <c r="G2" s="120"/>
    </row>
    <row r="3" spans="1:12" ht="14.25" customHeight="1" x14ac:dyDescent="0.25">
      <c r="A3" s="57" t="s">
        <v>4</v>
      </c>
      <c r="B3" s="119" t="s">
        <v>235</v>
      </c>
      <c r="C3" s="120"/>
      <c r="D3" s="57" t="s">
        <v>5</v>
      </c>
      <c r="E3" s="119" t="s">
        <v>236</v>
      </c>
      <c r="F3" s="120"/>
      <c r="G3" s="120"/>
    </row>
    <row r="4" spans="1:12" ht="113.25" customHeight="1" x14ac:dyDescent="0.25">
      <c r="A4" s="57" t="s">
        <v>6</v>
      </c>
      <c r="B4" s="121" t="s">
        <v>237</v>
      </c>
      <c r="C4" s="120"/>
      <c r="D4" s="120"/>
      <c r="E4" s="120"/>
      <c r="F4" s="120"/>
      <c r="G4" s="120"/>
    </row>
    <row r="5" spans="1:12" ht="14.4" x14ac:dyDescent="0.25">
      <c r="A5" s="82" t="s">
        <v>107</v>
      </c>
      <c r="B5" s="140" t="s">
        <v>238</v>
      </c>
      <c r="C5" s="120"/>
      <c r="D5" s="120"/>
      <c r="E5" s="120"/>
      <c r="F5" s="141">
        <v>1</v>
      </c>
      <c r="G5" s="120"/>
    </row>
    <row r="6" spans="1:12" ht="11.25" customHeight="1" x14ac:dyDescent="0.25">
      <c r="A6" s="82" t="s">
        <v>108</v>
      </c>
      <c r="B6" s="140" t="s">
        <v>239</v>
      </c>
      <c r="C6" s="120"/>
      <c r="D6" s="120"/>
      <c r="E6" s="120"/>
      <c r="F6" s="141" t="s">
        <v>239</v>
      </c>
      <c r="G6" s="120"/>
    </row>
    <row r="7" spans="1:12" ht="11.25" customHeight="1" x14ac:dyDescent="0.25">
      <c r="A7" s="82" t="s">
        <v>109</v>
      </c>
      <c r="B7" s="140" t="s">
        <v>239</v>
      </c>
      <c r="C7" s="120"/>
      <c r="D7" s="120"/>
      <c r="E7" s="120"/>
      <c r="F7" s="141" t="s">
        <v>239</v>
      </c>
      <c r="G7" s="120"/>
    </row>
    <row r="8" spans="1:12" ht="11.25" customHeight="1" x14ac:dyDescent="0.25">
      <c r="A8" s="82" t="s">
        <v>110</v>
      </c>
      <c r="B8" s="140" t="s">
        <v>239</v>
      </c>
      <c r="C8" s="120"/>
      <c r="D8" s="120"/>
      <c r="E8" s="120"/>
      <c r="F8" s="141" t="s">
        <v>239</v>
      </c>
      <c r="G8" s="120"/>
    </row>
    <row r="9" spans="1:12" ht="11.25" customHeight="1" x14ac:dyDescent="0.25">
      <c r="A9" s="82" t="s">
        <v>111</v>
      </c>
      <c r="B9" s="140" t="s">
        <v>239</v>
      </c>
      <c r="C9" s="120"/>
      <c r="D9" s="120"/>
      <c r="E9" s="120"/>
      <c r="F9" s="141" t="s">
        <v>239</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4.3</v>
      </c>
      <c r="E13" s="64">
        <v>4.9398907103825138</v>
      </c>
      <c r="F13" s="65" t="s">
        <v>153</v>
      </c>
      <c r="G13" s="64">
        <v>20</v>
      </c>
    </row>
    <row r="14" spans="1:12" ht="14.4" customHeight="1" x14ac:dyDescent="0.25">
      <c r="A14" t="s">
        <v>116</v>
      </c>
      <c r="B14" t="s">
        <v>114</v>
      </c>
      <c r="C14" t="s">
        <v>117</v>
      </c>
      <c r="D14" s="64">
        <v>4.75</v>
      </c>
      <c r="E14" s="83">
        <v>9.9398907103825138</v>
      </c>
      <c r="F14" t="s">
        <v>153</v>
      </c>
      <c r="G14" s="64">
        <v>10</v>
      </c>
    </row>
    <row r="15" spans="1:12" ht="14.4" customHeight="1" x14ac:dyDescent="0.25">
      <c r="A15" t="s">
        <v>118</v>
      </c>
      <c r="B15" t="s">
        <v>119</v>
      </c>
      <c r="C15" t="s">
        <v>120</v>
      </c>
      <c r="D15" s="64">
        <v>4.55</v>
      </c>
      <c r="E15" s="83">
        <v>6.3041095890410963</v>
      </c>
      <c r="F15" t="s">
        <v>153</v>
      </c>
      <c r="G15" s="64">
        <v>20</v>
      </c>
    </row>
    <row r="16" spans="1:12" ht="14.4" customHeight="1" x14ac:dyDescent="0.25">
      <c r="A16" t="s">
        <v>121</v>
      </c>
      <c r="B16" t="s">
        <v>122</v>
      </c>
      <c r="C16" t="s">
        <v>123</v>
      </c>
      <c r="D16" s="64">
        <v>4.99</v>
      </c>
      <c r="E16" s="83">
        <v>2.1589041095890411</v>
      </c>
      <c r="F16" t="s">
        <v>153</v>
      </c>
      <c r="G16" s="64">
        <v>30</v>
      </c>
    </row>
    <row r="17" spans="1:7" ht="14.4" customHeight="1" x14ac:dyDescent="0.25">
      <c r="A17" t="s">
        <v>124</v>
      </c>
      <c r="B17" t="s">
        <v>125</v>
      </c>
      <c r="C17" t="s">
        <v>126</v>
      </c>
      <c r="D17" s="64">
        <v>5.17</v>
      </c>
      <c r="E17" s="83">
        <v>6.1342465753424662</v>
      </c>
      <c r="F17" t="s">
        <v>153</v>
      </c>
      <c r="G17" s="64">
        <v>30</v>
      </c>
    </row>
    <row r="18" spans="1:7" ht="14.4" customHeight="1" x14ac:dyDescent="0.25">
      <c r="A18" t="s">
        <v>127</v>
      </c>
      <c r="B18" t="s">
        <v>128</v>
      </c>
      <c r="C18" t="s">
        <v>129</v>
      </c>
      <c r="D18" s="64">
        <v>5.09</v>
      </c>
      <c r="E18" s="83">
        <v>5.5232876712328771</v>
      </c>
      <c r="F18" t="s">
        <v>153</v>
      </c>
      <c r="G18" s="64">
        <v>40</v>
      </c>
    </row>
    <row r="19" spans="1:7" ht="14.4" customHeight="1" x14ac:dyDescent="0.25">
      <c r="A19" t="s">
        <v>130</v>
      </c>
      <c r="B19" t="s">
        <v>131</v>
      </c>
      <c r="C19" t="s">
        <v>132</v>
      </c>
      <c r="D19" s="64">
        <v>4.76</v>
      </c>
      <c r="E19" s="83">
        <v>3.2493150684931509</v>
      </c>
      <c r="F19" t="s">
        <v>153</v>
      </c>
      <c r="G19" s="64">
        <v>30</v>
      </c>
    </row>
    <row r="20" spans="1:7" ht="14.4" customHeight="1" x14ac:dyDescent="0.25">
      <c r="A20" t="s">
        <v>133</v>
      </c>
      <c r="B20" t="s">
        <v>134</v>
      </c>
      <c r="C20" t="s">
        <v>135</v>
      </c>
      <c r="D20" s="64">
        <v>3.9</v>
      </c>
      <c r="E20" s="83">
        <v>7.5863013698630137</v>
      </c>
      <c r="F20" t="s">
        <v>153</v>
      </c>
      <c r="G20" s="64">
        <v>30</v>
      </c>
    </row>
    <row r="21" spans="1:7" ht="14.4" customHeight="1" x14ac:dyDescent="0.25">
      <c r="A21" t="s">
        <v>136</v>
      </c>
      <c r="B21" t="s">
        <v>137</v>
      </c>
      <c r="C21" t="s">
        <v>138</v>
      </c>
      <c r="D21" s="64">
        <v>4.18</v>
      </c>
      <c r="E21" s="83">
        <v>1.441095890410959</v>
      </c>
      <c r="F21" t="s">
        <v>153</v>
      </c>
      <c r="G21" s="64">
        <v>30</v>
      </c>
    </row>
    <row r="22" spans="1:7" ht="14.4" customHeight="1" x14ac:dyDescent="0.25">
      <c r="A22" t="s">
        <v>139</v>
      </c>
      <c r="B22" t="s">
        <v>140</v>
      </c>
      <c r="C22" t="s">
        <v>141</v>
      </c>
      <c r="D22" s="64">
        <v>4.28</v>
      </c>
      <c r="E22" s="83">
        <v>0</v>
      </c>
      <c r="F22" t="s">
        <v>153</v>
      </c>
      <c r="G22" s="64">
        <v>20</v>
      </c>
    </row>
    <row r="23" spans="1:7" ht="14.4" customHeight="1" x14ac:dyDescent="0.25">
      <c r="A23" t="s">
        <v>142</v>
      </c>
      <c r="B23" t="s">
        <v>143</v>
      </c>
      <c r="C23" t="s">
        <v>144</v>
      </c>
      <c r="D23" s="64">
        <v>5.4</v>
      </c>
      <c r="E23" s="83">
        <v>0</v>
      </c>
      <c r="F23" t="s">
        <v>153</v>
      </c>
      <c r="G23" s="64">
        <v>30</v>
      </c>
    </row>
    <row r="24" spans="1:7" ht="14.4" customHeight="1" x14ac:dyDescent="0.25">
      <c r="A24" t="s">
        <v>145</v>
      </c>
      <c r="B24" t="s">
        <v>143</v>
      </c>
      <c r="C24" t="s">
        <v>146</v>
      </c>
      <c r="D24" s="64">
        <v>5.0999999999999996</v>
      </c>
      <c r="E24" s="83">
        <v>0</v>
      </c>
      <c r="F24" t="s">
        <v>153</v>
      </c>
      <c r="G24" s="64">
        <v>50</v>
      </c>
    </row>
    <row r="25" spans="1:7" ht="14.4" customHeight="1" x14ac:dyDescent="0.25">
      <c r="D25" s="64"/>
      <c r="E25" s="83"/>
      <c r="G25" s="64"/>
    </row>
    <row r="26" spans="1:7" ht="14.4" customHeight="1" x14ac:dyDescent="0.25">
      <c r="D26" s="64"/>
      <c r="E26" s="83"/>
      <c r="G26" s="64"/>
    </row>
    <row r="27" spans="1:7" ht="14.4" customHeight="1" x14ac:dyDescent="0.25">
      <c r="D27" s="64"/>
      <c r="E27" s="83"/>
      <c r="G27" s="64"/>
    </row>
    <row r="28" spans="1:7" ht="14.4" customHeight="1" x14ac:dyDescent="0.25">
      <c r="D28" s="64"/>
      <c r="E28" s="83"/>
      <c r="G28" s="64"/>
    </row>
    <row r="29" spans="1:7" ht="14.4" customHeight="1" x14ac:dyDescent="0.25">
      <c r="D29" s="64"/>
      <c r="E29" s="83"/>
      <c r="G29" s="64"/>
    </row>
    <row r="30" spans="1:7" ht="14.4" customHeight="1" x14ac:dyDescent="0.25">
      <c r="A30" s="143" t="s">
        <v>147</v>
      </c>
      <c r="B30" s="143"/>
      <c r="C30" s="143"/>
      <c r="D30" s="143"/>
      <c r="E30" s="83"/>
      <c r="G30" s="64"/>
    </row>
    <row r="31" spans="1:7" ht="14.4" customHeight="1" x14ac:dyDescent="0.25">
      <c r="A31" s="84" t="s">
        <v>148</v>
      </c>
      <c r="B31" s="84" t="s">
        <v>149</v>
      </c>
      <c r="C31" s="84" t="s">
        <v>150</v>
      </c>
      <c r="D31" s="85" t="s">
        <v>151</v>
      </c>
      <c r="E31" s="83"/>
      <c r="G31" s="64"/>
    </row>
    <row r="32" spans="1:7" ht="14.4" customHeight="1" x14ac:dyDescent="0.25">
      <c r="A32" t="s">
        <v>152</v>
      </c>
      <c r="B32" t="s">
        <v>153</v>
      </c>
      <c r="C32" t="s">
        <v>154</v>
      </c>
      <c r="D32" s="64" t="s">
        <v>155</v>
      </c>
      <c r="E32" s="83"/>
      <c r="G32" s="64"/>
    </row>
    <row r="33" spans="1:7" ht="14.4" customHeight="1" x14ac:dyDescent="0.25">
      <c r="A33" t="s">
        <v>156</v>
      </c>
      <c r="B33" t="s">
        <v>153</v>
      </c>
      <c r="C33" t="s">
        <v>154</v>
      </c>
      <c r="D33" s="64" t="s">
        <v>157</v>
      </c>
      <c r="E33" s="83"/>
      <c r="G33" s="64"/>
    </row>
    <row r="34" spans="1:7" ht="14.4" customHeight="1" x14ac:dyDescent="0.25">
      <c r="A34" t="s">
        <v>158</v>
      </c>
      <c r="B34" t="s">
        <v>153</v>
      </c>
      <c r="C34" t="s">
        <v>154</v>
      </c>
      <c r="D34" s="64" t="s">
        <v>157</v>
      </c>
      <c r="E34" s="83"/>
      <c r="G34" s="64"/>
    </row>
    <row r="35" spans="1:7" ht="14.4" customHeight="1" x14ac:dyDescent="0.25">
      <c r="A35" t="s">
        <v>159</v>
      </c>
      <c r="B35" t="s">
        <v>153</v>
      </c>
      <c r="C35" t="s">
        <v>154</v>
      </c>
      <c r="D35" s="64" t="s">
        <v>155</v>
      </c>
      <c r="E35" s="83"/>
      <c r="G35" s="64"/>
    </row>
    <row r="36" spans="1:7" ht="14.4" customHeight="1" x14ac:dyDescent="0.25">
      <c r="A36" t="s">
        <v>160</v>
      </c>
      <c r="B36" t="s">
        <v>153</v>
      </c>
      <c r="C36" t="s">
        <v>154</v>
      </c>
      <c r="D36" s="64" t="s">
        <v>155</v>
      </c>
      <c r="E36" s="83"/>
      <c r="G36" s="64"/>
    </row>
    <row r="37" spans="1:7" ht="14.4" customHeight="1" x14ac:dyDescent="0.25">
      <c r="A37" t="s">
        <v>161</v>
      </c>
      <c r="B37" t="s">
        <v>153</v>
      </c>
      <c r="C37" t="s">
        <v>154</v>
      </c>
      <c r="D37" s="64" t="s">
        <v>155</v>
      </c>
      <c r="E37" s="83"/>
      <c r="G37" s="64"/>
    </row>
    <row r="38" spans="1:7" ht="14.4" customHeight="1" x14ac:dyDescent="0.25">
      <c r="A38" t="s">
        <v>162</v>
      </c>
      <c r="B38" t="s">
        <v>153</v>
      </c>
      <c r="C38" t="s">
        <v>154</v>
      </c>
      <c r="D38" s="64" t="s">
        <v>157</v>
      </c>
      <c r="E38" s="83"/>
      <c r="G38" s="64"/>
    </row>
    <row r="39" spans="1:7" ht="14.4" customHeight="1" x14ac:dyDescent="0.25">
      <c r="A39" t="s">
        <v>163</v>
      </c>
      <c r="B39" t="s">
        <v>153</v>
      </c>
      <c r="C39" t="s">
        <v>154</v>
      </c>
      <c r="D39" s="64" t="s">
        <v>155</v>
      </c>
      <c r="E39" s="83"/>
      <c r="G39" s="64"/>
    </row>
    <row r="40" spans="1:7" ht="14.4" customHeight="1" x14ac:dyDescent="0.25">
      <c r="A40" t="s">
        <v>164</v>
      </c>
      <c r="B40" t="s">
        <v>153</v>
      </c>
      <c r="C40" t="s">
        <v>154</v>
      </c>
      <c r="D40" s="64" t="s">
        <v>157</v>
      </c>
      <c r="E40" s="83"/>
      <c r="G40" s="64"/>
    </row>
    <row r="41" spans="1:7" ht="14.4" customHeight="1" x14ac:dyDescent="0.25">
      <c r="A41" t="s">
        <v>165</v>
      </c>
      <c r="B41" t="s">
        <v>153</v>
      </c>
      <c r="C41" t="s">
        <v>154</v>
      </c>
      <c r="D41" s="64" t="s">
        <v>155</v>
      </c>
      <c r="E41" s="83"/>
      <c r="G41" s="64"/>
    </row>
    <row r="42" spans="1:7" ht="14.4" customHeight="1" x14ac:dyDescent="0.25">
      <c r="A42" t="s">
        <v>165</v>
      </c>
      <c r="B42" t="s">
        <v>153</v>
      </c>
      <c r="C42" t="s">
        <v>154</v>
      </c>
      <c r="D42" s="64" t="s">
        <v>157</v>
      </c>
      <c r="E42" s="83"/>
      <c r="G42" s="64"/>
    </row>
    <row r="43" spans="1:7" ht="14.4" customHeight="1" x14ac:dyDescent="0.25">
      <c r="A43" t="s">
        <v>166</v>
      </c>
      <c r="B43" t="s">
        <v>153</v>
      </c>
      <c r="C43" t="s">
        <v>154</v>
      </c>
      <c r="D43" s="64" t="s">
        <v>155</v>
      </c>
      <c r="E43" s="83"/>
      <c r="G43" s="64"/>
    </row>
    <row r="44" spans="1:7" ht="14.4" customHeight="1" x14ac:dyDescent="0.25">
      <c r="A44" t="s">
        <v>167</v>
      </c>
      <c r="B44" t="s">
        <v>153</v>
      </c>
      <c r="C44" t="s">
        <v>154</v>
      </c>
      <c r="D44" s="64" t="s">
        <v>157</v>
      </c>
      <c r="E44" s="83"/>
      <c r="G44" s="64"/>
    </row>
    <row r="45" spans="1:7" ht="14.4" customHeight="1" x14ac:dyDescent="0.25">
      <c r="A45" t="s">
        <v>168</v>
      </c>
      <c r="B45" t="s">
        <v>153</v>
      </c>
      <c r="C45" t="s">
        <v>154</v>
      </c>
      <c r="D45" s="64" t="s">
        <v>157</v>
      </c>
      <c r="E45" s="83"/>
      <c r="G45" s="64"/>
    </row>
    <row r="46" spans="1:7" ht="14.4" customHeight="1" x14ac:dyDescent="0.25">
      <c r="A46" t="s">
        <v>169</v>
      </c>
      <c r="B46" t="s">
        <v>153</v>
      </c>
      <c r="C46" t="s">
        <v>154</v>
      </c>
      <c r="D46" s="64" t="s">
        <v>157</v>
      </c>
      <c r="E46" s="83"/>
      <c r="G46" s="64"/>
    </row>
    <row r="47" spans="1:7" ht="14.4" customHeight="1" x14ac:dyDescent="0.25">
      <c r="A47" t="s">
        <v>170</v>
      </c>
      <c r="B47" t="s">
        <v>153</v>
      </c>
      <c r="C47" t="s">
        <v>154</v>
      </c>
      <c r="D47" s="64" t="s">
        <v>157</v>
      </c>
      <c r="E47" s="83"/>
      <c r="G47" s="64"/>
    </row>
    <row r="48" spans="1:7" ht="14.4" customHeight="1" x14ac:dyDescent="0.25">
      <c r="A48" t="s">
        <v>171</v>
      </c>
      <c r="B48" t="s">
        <v>153</v>
      </c>
      <c r="C48" t="s">
        <v>154</v>
      </c>
      <c r="D48" s="64" t="s">
        <v>157</v>
      </c>
      <c r="E48" s="83"/>
      <c r="G48" s="64"/>
    </row>
    <row r="49" spans="1:7" ht="14.4" customHeight="1" x14ac:dyDescent="0.25">
      <c r="A49" t="s">
        <v>172</v>
      </c>
      <c r="B49" t="s">
        <v>153</v>
      </c>
      <c r="C49" t="s">
        <v>154</v>
      </c>
      <c r="D49" s="64" t="s">
        <v>157</v>
      </c>
      <c r="E49" s="83"/>
      <c r="G49" s="64"/>
    </row>
    <row r="50" spans="1:7" ht="14.4" customHeight="1" x14ac:dyDescent="0.25">
      <c r="A50" t="s">
        <v>173</v>
      </c>
      <c r="B50" t="s">
        <v>153</v>
      </c>
      <c r="C50" t="s">
        <v>154</v>
      </c>
      <c r="D50" s="64" t="s">
        <v>157</v>
      </c>
      <c r="E50" s="83"/>
      <c r="G50" s="64"/>
    </row>
    <row r="51" spans="1:7" ht="14.4" customHeight="1" x14ac:dyDescent="0.25">
      <c r="A51" t="s">
        <v>174</v>
      </c>
      <c r="B51" t="s">
        <v>153</v>
      </c>
      <c r="C51" t="s">
        <v>154</v>
      </c>
      <c r="D51" s="64" t="s">
        <v>157</v>
      </c>
      <c r="E51" s="83"/>
      <c r="G51" s="64"/>
    </row>
    <row r="52" spans="1:7" ht="14.4" customHeight="1" x14ac:dyDescent="0.25">
      <c r="D52" s="64"/>
      <c r="E52" s="83"/>
      <c r="G52" s="64"/>
    </row>
    <row r="53" spans="1:7" ht="14.4" customHeight="1" x14ac:dyDescent="0.25">
      <c r="D53" s="64"/>
      <c r="E53" s="83"/>
      <c r="G53" s="64"/>
    </row>
    <row r="54" spans="1:7" ht="14.4" customHeight="1" x14ac:dyDescent="0.25">
      <c r="D54" s="64"/>
      <c r="E54" s="83"/>
      <c r="G54" s="64"/>
    </row>
    <row r="55" spans="1:7" ht="14.4" customHeight="1" x14ac:dyDescent="0.25">
      <c r="D55" s="64"/>
      <c r="E55" s="83"/>
      <c r="G55" s="64"/>
    </row>
    <row r="56" spans="1:7" ht="14.4" customHeight="1" x14ac:dyDescent="0.25">
      <c r="D56" s="64"/>
      <c r="E56" s="83"/>
      <c r="G56" s="64"/>
    </row>
    <row r="57" spans="1:7" ht="14.4" customHeight="1" x14ac:dyDescent="0.25">
      <c r="D57" s="64"/>
      <c r="E57" s="83"/>
      <c r="G57" s="64"/>
    </row>
    <row r="58" spans="1:7" ht="14.4" customHeight="1" x14ac:dyDescent="0.25">
      <c r="D58" s="64"/>
      <c r="E58" s="83"/>
      <c r="G58" s="64"/>
    </row>
    <row r="59" spans="1:7" ht="14.4" customHeight="1" x14ac:dyDescent="0.25">
      <c r="D59" s="64"/>
      <c r="E59" s="83"/>
      <c r="G59" s="64"/>
    </row>
    <row r="60" spans="1:7" ht="14.4" customHeight="1" x14ac:dyDescent="0.25">
      <c r="D60" s="64"/>
      <c r="E60" s="83"/>
      <c r="G60" s="64"/>
    </row>
    <row r="61" spans="1:7" ht="14.4" customHeight="1" x14ac:dyDescent="0.25">
      <c r="D61" s="64"/>
      <c r="E61" s="83"/>
      <c r="G61" s="64"/>
    </row>
    <row r="62" spans="1:7" ht="14.4" customHeight="1" x14ac:dyDescent="0.25">
      <c r="D62" s="64"/>
      <c r="E62" s="83"/>
      <c r="G62" s="64"/>
    </row>
    <row r="63" spans="1:7" ht="14.4" customHeight="1" x14ac:dyDescent="0.25">
      <c r="D63" s="64"/>
      <c r="E63" s="83"/>
      <c r="G63" s="64"/>
    </row>
    <row r="64" spans="1: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175</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30:D30"/>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0.70948199999999995</v>
      </c>
      <c r="C4" s="57" t="s">
        <v>29</v>
      </c>
      <c r="D4" s="87">
        <v>1.4007000000000001</v>
      </c>
      <c r="E4" s="57" t="s">
        <v>33</v>
      </c>
      <c r="F4" s="86">
        <v>0.94230000000000003</v>
      </c>
      <c r="G4" s="57" t="s">
        <v>34</v>
      </c>
      <c r="H4" s="86">
        <v>0.13569599999999998</v>
      </c>
      <c r="I4" s="57"/>
      <c r="J4" s="88"/>
    </row>
    <row r="5" spans="1:10" ht="15.75" customHeight="1" x14ac:dyDescent="0.25">
      <c r="A5" s="57" t="s">
        <v>54</v>
      </c>
      <c r="B5" s="86">
        <v>0.23732500000000001</v>
      </c>
      <c r="C5" s="57" t="s">
        <v>55</v>
      </c>
      <c r="D5" s="87">
        <v>1.1088</v>
      </c>
      <c r="E5" s="57" t="s">
        <v>56</v>
      </c>
      <c r="F5" s="87">
        <v>13.829800000000001</v>
      </c>
      <c r="G5" s="57" t="s">
        <v>57</v>
      </c>
      <c r="H5" s="86">
        <v>2.3035E-2</v>
      </c>
      <c r="I5" s="57"/>
      <c r="J5" s="88"/>
    </row>
    <row r="6" spans="1:10" ht="15" customHeight="1" x14ac:dyDescent="0.25">
      <c r="A6" s="57" t="s">
        <v>58</v>
      </c>
      <c r="B6" s="86">
        <v>0.23880500000000002</v>
      </c>
      <c r="C6" s="57" t="s">
        <v>31</v>
      </c>
      <c r="D6" s="89">
        <v>3.8699999999999998E-2</v>
      </c>
      <c r="E6" s="57" t="s">
        <v>59</v>
      </c>
      <c r="F6" s="87">
        <v>3.6659999999999999</v>
      </c>
      <c r="G6" s="57" t="s">
        <v>37</v>
      </c>
      <c r="H6" s="86">
        <v>1.34E-4</v>
      </c>
      <c r="I6" s="57"/>
      <c r="J6" s="88"/>
    </row>
    <row r="7" spans="1:10" ht="14.25" customHeight="1" x14ac:dyDescent="0.25">
      <c r="A7" s="57" t="s">
        <v>30</v>
      </c>
      <c r="B7" s="89">
        <v>2.0060695782517444</v>
      </c>
      <c r="C7" s="57" t="s">
        <v>60</v>
      </c>
      <c r="D7" s="89">
        <v>1.2978000000000001</v>
      </c>
      <c r="E7" s="57" t="s">
        <v>61</v>
      </c>
      <c r="F7" s="87">
        <v>0.87649999999999995</v>
      </c>
      <c r="G7" s="57" t="s">
        <v>62</v>
      </c>
      <c r="H7" s="86">
        <v>2.1297999999999997E-2</v>
      </c>
      <c r="I7" s="57"/>
      <c r="J7" s="88"/>
    </row>
    <row r="8" spans="1:10" x14ac:dyDescent="0.25">
      <c r="A8" s="57"/>
      <c r="B8" s="90"/>
      <c r="C8" s="57"/>
      <c r="D8" s="91"/>
      <c r="E8" s="57" t="s">
        <v>63</v>
      </c>
      <c r="F8" s="87">
        <v>0.20480000000000001</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946.13328196600003</v>
      </c>
      <c r="C12" s="57" t="s">
        <v>70</v>
      </c>
      <c r="D12" s="89">
        <v>1701.7389052322001</v>
      </c>
      <c r="E12" s="147" t="s">
        <v>71</v>
      </c>
      <c r="F12" s="120"/>
      <c r="G12" s="120"/>
      <c r="H12" s="148">
        <v>1602.8729858103</v>
      </c>
      <c r="I12" s="120"/>
      <c r="J12" s="120"/>
    </row>
    <row r="13" spans="1:10" ht="14.25" customHeight="1" x14ac:dyDescent="0.25">
      <c r="A13" s="57" t="s">
        <v>72</v>
      </c>
      <c r="B13" s="92">
        <v>147.00727554969998</v>
      </c>
      <c r="C13" s="57" t="s">
        <v>73</v>
      </c>
      <c r="D13" s="89">
        <v>1712.1992610207001</v>
      </c>
      <c r="E13" s="147" t="s">
        <v>74</v>
      </c>
      <c r="F13" s="120"/>
      <c r="G13" s="120"/>
      <c r="H13" s="148">
        <v>355.83967403779997</v>
      </c>
      <c r="I13" s="120"/>
      <c r="J13" s="120"/>
    </row>
    <row r="14" spans="1:10" ht="14.25" customHeight="1" x14ac:dyDescent="0.25">
      <c r="A14" s="57" t="s">
        <v>75</v>
      </c>
      <c r="B14" s="92">
        <v>299.81272659140001</v>
      </c>
      <c r="C14" s="57" t="s">
        <v>76</v>
      </c>
      <c r="D14" s="89">
        <v>1470.190601389</v>
      </c>
      <c r="E14" s="147" t="s">
        <v>77</v>
      </c>
      <c r="F14" s="120"/>
      <c r="G14" s="120"/>
      <c r="H14" s="148">
        <v>1968.6725897445001</v>
      </c>
      <c r="I14" s="120"/>
      <c r="J14" s="120"/>
    </row>
    <row r="15" spans="1:10" ht="14.25" customHeight="1" x14ac:dyDescent="0.25">
      <c r="A15" s="57" t="s">
        <v>78</v>
      </c>
      <c r="B15" s="92">
        <v>2326.623281789</v>
      </c>
      <c r="C15" s="57" t="s">
        <v>79</v>
      </c>
      <c r="D15" s="89">
        <v>20.5704063401</v>
      </c>
      <c r="E15" s="147" t="s">
        <v>80</v>
      </c>
      <c r="F15" s="120"/>
      <c r="G15" s="120"/>
      <c r="H15" s="148">
        <v>1403.6121568513001</v>
      </c>
      <c r="I15" s="120"/>
      <c r="J15" s="120"/>
    </row>
    <row r="16" spans="1:10" ht="14.25" customHeight="1" x14ac:dyDescent="0.25">
      <c r="A16" s="57" t="s">
        <v>81</v>
      </c>
      <c r="B16" s="92">
        <v>658.91000950900002</v>
      </c>
      <c r="C16" s="57" t="s">
        <v>82</v>
      </c>
      <c r="D16" s="89">
        <v>65.501081675400002</v>
      </c>
      <c r="E16" s="147" t="s">
        <v>83</v>
      </c>
      <c r="F16" s="120"/>
      <c r="G16" s="120"/>
      <c r="H16" s="148">
        <v>359.57981280029998</v>
      </c>
      <c r="I16" s="120"/>
      <c r="J16" s="120"/>
    </row>
    <row r="17" spans="1:10" ht="14.25" customHeight="1" x14ac:dyDescent="0.25">
      <c r="A17" s="57" t="s">
        <v>84</v>
      </c>
      <c r="B17" s="92">
        <v>1386.2733539108999</v>
      </c>
      <c r="C17" s="57" t="s">
        <v>85</v>
      </c>
      <c r="D17" s="89">
        <v>134.50901637139998</v>
      </c>
      <c r="E17" s="147" t="s">
        <v>86</v>
      </c>
      <c r="F17" s="120"/>
      <c r="G17" s="120"/>
      <c r="H17" s="148">
        <v>1923.0605800007002</v>
      </c>
      <c r="I17" s="120"/>
      <c r="J17" s="120"/>
    </row>
    <row r="18" spans="1:10" ht="14.25" customHeight="1" x14ac:dyDescent="0.25">
      <c r="A18" s="57" t="s">
        <v>87</v>
      </c>
      <c r="B18" s="92">
        <v>9060.9173604795997</v>
      </c>
      <c r="C18" s="57" t="s">
        <v>88</v>
      </c>
      <c r="D18" s="89">
        <v>39.199223101500003</v>
      </c>
      <c r="E18" s="147" t="s">
        <v>89</v>
      </c>
      <c r="F18" s="120"/>
      <c r="G18" s="120"/>
      <c r="H18" s="148">
        <v>45.612009743800002</v>
      </c>
      <c r="I18" s="120"/>
      <c r="J18" s="120"/>
    </row>
    <row r="19" spans="1:10" ht="14.25" customHeight="1" x14ac:dyDescent="0.25">
      <c r="A19" s="57" t="s">
        <v>90</v>
      </c>
      <c r="B19" s="92">
        <v>367.77633820339997</v>
      </c>
      <c r="C19" s="57" t="s">
        <v>91</v>
      </c>
      <c r="D19" s="89">
        <v>40.611678097399995</v>
      </c>
      <c r="E19" s="147" t="s">
        <v>92</v>
      </c>
      <c r="F19" s="120"/>
      <c r="G19" s="120"/>
      <c r="H19" s="148">
        <v>-743.65402571839991</v>
      </c>
      <c r="I19" s="120"/>
      <c r="J19" s="120"/>
    </row>
    <row r="20" spans="1:10" ht="27" customHeight="1" x14ac:dyDescent="0.25">
      <c r="A20" s="57" t="s">
        <v>93</v>
      </c>
      <c r="B20" s="92">
        <v>390.79857931070001</v>
      </c>
      <c r="C20" s="57" t="s">
        <v>35</v>
      </c>
      <c r="D20" s="89">
        <v>33.940991652199997</v>
      </c>
      <c r="E20" s="147" t="s">
        <v>94</v>
      </c>
      <c r="F20" s="120"/>
      <c r="G20" s="120"/>
      <c r="H20" s="148">
        <v>189.81618073529998</v>
      </c>
      <c r="I20" s="120"/>
      <c r="J20" s="120"/>
    </row>
    <row r="21" spans="1:10" ht="16.5" customHeight="1" x14ac:dyDescent="0.25">
      <c r="A21" s="57" t="s">
        <v>95</v>
      </c>
      <c r="B21" s="92">
        <v>0</v>
      </c>
      <c r="C21" s="57"/>
      <c r="D21" s="93"/>
      <c r="E21" s="147" t="s">
        <v>96</v>
      </c>
      <c r="F21" s="120"/>
      <c r="G21" s="120"/>
      <c r="H21" s="148">
        <v>1572.8509461501001</v>
      </c>
      <c r="I21" s="120"/>
      <c r="J21" s="120"/>
    </row>
    <row r="22" spans="1:10" ht="14.25" customHeight="1" x14ac:dyDescent="0.25">
      <c r="A22" s="57" t="s">
        <v>97</v>
      </c>
      <c r="B22" s="92">
        <v>4057.4992478690001</v>
      </c>
      <c r="C22" s="57"/>
      <c r="D22" s="93"/>
      <c r="E22" s="147" t="s">
        <v>98</v>
      </c>
      <c r="F22" s="120"/>
      <c r="G22" s="120"/>
      <c r="H22" s="148">
        <v>89.97</v>
      </c>
      <c r="I22" s="120"/>
      <c r="J22" s="120"/>
    </row>
    <row r="23" spans="1:10" ht="14.25" customHeight="1" x14ac:dyDescent="0.25">
      <c r="A23" s="57" t="s">
        <v>99</v>
      </c>
      <c r="B23" s="92">
        <v>439.4893974213</v>
      </c>
      <c r="C23" s="57"/>
      <c r="D23" s="93"/>
      <c r="E23" s="147" t="s">
        <v>100</v>
      </c>
      <c r="F23" s="120"/>
      <c r="G23" s="120"/>
      <c r="H23" s="148">
        <v>2165.5268313924998</v>
      </c>
      <c r="I23" s="120"/>
      <c r="J23" s="120"/>
    </row>
    <row r="24" spans="1:10" ht="14.25" customHeight="1" x14ac:dyDescent="0.25">
      <c r="A24" s="57" t="s">
        <v>101</v>
      </c>
      <c r="B24" s="92">
        <v>6428.5553200019995</v>
      </c>
      <c r="C24" s="94"/>
      <c r="D24" s="91"/>
      <c r="E24" s="147" t="s">
        <v>102</v>
      </c>
      <c r="F24" s="120"/>
      <c r="G24" s="120"/>
      <c r="H24" s="148">
        <v>925.23821434270008</v>
      </c>
      <c r="I24" s="120"/>
      <c r="J24" s="120"/>
    </row>
    <row r="25" spans="1:10" ht="14.25" customHeight="1" x14ac:dyDescent="0.25">
      <c r="A25" s="57" t="s">
        <v>103</v>
      </c>
      <c r="B25" s="92">
        <v>2632.3620404776002</v>
      </c>
      <c r="C25" s="94"/>
      <c r="D25" s="91"/>
      <c r="E25" s="147" t="s">
        <v>104</v>
      </c>
      <c r="F25" s="120"/>
      <c r="G25" s="120"/>
      <c r="H25" s="148">
        <v>1335.620173217</v>
      </c>
      <c r="I25" s="120"/>
      <c r="J25" s="120"/>
    </row>
    <row r="26" spans="1:10" ht="14.25" customHeight="1" x14ac:dyDescent="0.25">
      <c r="A26" s="95" t="s">
        <v>105</v>
      </c>
      <c r="B26" s="92">
        <v>9060.9173604795997</v>
      </c>
      <c r="C26" s="94"/>
      <c r="D26" s="91"/>
      <c r="E26" s="147" t="s">
        <v>106</v>
      </c>
      <c r="F26" s="120"/>
      <c r="G26" s="120"/>
      <c r="H26" s="148">
        <v>829.90665817550007</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176</v>
      </c>
      <c r="B1" s="124"/>
      <c r="C1" s="124"/>
      <c r="D1" s="124"/>
      <c r="E1" s="124"/>
      <c r="F1" s="124"/>
      <c r="G1" s="124"/>
      <c r="H1" s="124"/>
      <c r="I1" s="124"/>
    </row>
    <row r="2" spans="1:10" ht="46.5" customHeight="1" x14ac:dyDescent="0.25">
      <c r="A2" s="54" t="s">
        <v>22</v>
      </c>
      <c r="B2" s="43" t="s">
        <v>233</v>
      </c>
      <c r="C2" s="43" t="s">
        <v>177</v>
      </c>
      <c r="D2" s="43" t="s">
        <v>239</v>
      </c>
      <c r="E2" s="43" t="s">
        <v>239</v>
      </c>
      <c r="F2" s="43" t="s">
        <v>239</v>
      </c>
      <c r="G2" s="43" t="s">
        <v>239</v>
      </c>
      <c r="H2" s="43" t="s">
        <v>239</v>
      </c>
      <c r="I2" s="43" t="s">
        <v>239</v>
      </c>
      <c r="J2" s="43" t="s">
        <v>239</v>
      </c>
    </row>
    <row r="3" spans="1:10" x14ac:dyDescent="0.25">
      <c r="A3" s="54" t="s">
        <v>23</v>
      </c>
      <c r="B3" s="97" t="s">
        <v>153</v>
      </c>
      <c r="C3" s="98" t="s">
        <v>178</v>
      </c>
      <c r="D3" s="97" t="s">
        <v>239</v>
      </c>
      <c r="E3" s="97" t="s">
        <v>239</v>
      </c>
      <c r="F3" s="97" t="s">
        <v>239</v>
      </c>
      <c r="G3" s="97" t="s">
        <v>239</v>
      </c>
      <c r="H3" s="97" t="s">
        <v>239</v>
      </c>
      <c r="I3" s="97" t="s">
        <v>239</v>
      </c>
      <c r="J3" s="97" t="s">
        <v>239</v>
      </c>
    </row>
    <row r="4" spans="1:10" s="7" customFormat="1" ht="21.6" x14ac:dyDescent="0.25">
      <c r="A4" s="9" t="s">
        <v>3</v>
      </c>
      <c r="B4" s="99" t="s">
        <v>234</v>
      </c>
      <c r="C4" s="98" t="s">
        <v>178</v>
      </c>
      <c r="D4" s="99" t="s">
        <v>239</v>
      </c>
      <c r="E4" s="99" t="s">
        <v>239</v>
      </c>
      <c r="F4" s="99" t="s">
        <v>239</v>
      </c>
      <c r="G4" s="99" t="s">
        <v>239</v>
      </c>
      <c r="H4" s="99" t="s">
        <v>239</v>
      </c>
      <c r="I4" s="99" t="s">
        <v>239</v>
      </c>
      <c r="J4" s="99" t="s">
        <v>239</v>
      </c>
    </row>
    <row r="5" spans="1:10" s="7" customFormat="1" x14ac:dyDescent="0.25">
      <c r="A5" s="9" t="s">
        <v>25</v>
      </c>
      <c r="B5" s="100" t="s">
        <v>26</v>
      </c>
      <c r="C5" s="98" t="s">
        <v>178</v>
      </c>
      <c r="D5" s="100" t="s">
        <v>239</v>
      </c>
      <c r="E5" s="100" t="s">
        <v>239</v>
      </c>
      <c r="F5" s="100" t="s">
        <v>239</v>
      </c>
      <c r="G5" s="100" t="s">
        <v>239</v>
      </c>
      <c r="H5" s="100" t="s">
        <v>239</v>
      </c>
      <c r="I5" s="100" t="s">
        <v>239</v>
      </c>
      <c r="J5" s="100" t="s">
        <v>239</v>
      </c>
    </row>
    <row r="6" spans="1:10" x14ac:dyDescent="0.25">
      <c r="A6" s="54" t="s">
        <v>27</v>
      </c>
      <c r="B6" s="101">
        <v>9060.9173604795997</v>
      </c>
      <c r="C6" s="98" t="s">
        <v>178</v>
      </c>
      <c r="D6" s="101" t="s">
        <v>239</v>
      </c>
      <c r="E6" s="101" t="s">
        <v>239</v>
      </c>
      <c r="F6" s="101" t="s">
        <v>239</v>
      </c>
      <c r="G6" s="101" t="s">
        <v>239</v>
      </c>
      <c r="H6" s="101" t="s">
        <v>239</v>
      </c>
      <c r="I6" s="101" t="s">
        <v>239</v>
      </c>
      <c r="J6" s="101" t="s">
        <v>239</v>
      </c>
    </row>
    <row r="7" spans="1:10" x14ac:dyDescent="0.25">
      <c r="A7" s="54" t="s">
        <v>28</v>
      </c>
      <c r="B7" s="44">
        <v>0.70948199999999995</v>
      </c>
      <c r="C7" s="98" t="s">
        <v>178</v>
      </c>
      <c r="D7" s="44" t="s">
        <v>239</v>
      </c>
      <c r="E7" s="44" t="s">
        <v>239</v>
      </c>
      <c r="F7" s="44" t="s">
        <v>239</v>
      </c>
      <c r="G7" s="44" t="s">
        <v>239</v>
      </c>
      <c r="H7" s="44" t="s">
        <v>239</v>
      </c>
      <c r="I7" s="44" t="s">
        <v>239</v>
      </c>
      <c r="J7" s="44" t="s">
        <v>239</v>
      </c>
    </row>
    <row r="8" spans="1:10" x14ac:dyDescent="0.25">
      <c r="A8" s="54" t="s">
        <v>29</v>
      </c>
      <c r="B8" s="101">
        <v>1.4007000000000001</v>
      </c>
      <c r="C8" s="98" t="s">
        <v>178</v>
      </c>
      <c r="D8" s="101" t="s">
        <v>239</v>
      </c>
      <c r="E8" s="101" t="s">
        <v>239</v>
      </c>
      <c r="F8" s="101" t="s">
        <v>239</v>
      </c>
      <c r="G8" s="101" t="s">
        <v>239</v>
      </c>
      <c r="H8" s="101" t="s">
        <v>239</v>
      </c>
      <c r="I8" s="101" t="s">
        <v>239</v>
      </c>
      <c r="J8" s="101" t="s">
        <v>239</v>
      </c>
    </row>
    <row r="9" spans="1:10" x14ac:dyDescent="0.25">
      <c r="A9" s="54" t="s">
        <v>30</v>
      </c>
      <c r="B9" s="97">
        <v>2.0060695782517444</v>
      </c>
      <c r="C9" s="98" t="s">
        <v>178</v>
      </c>
      <c r="D9" s="97" t="s">
        <v>239</v>
      </c>
      <c r="E9" s="97" t="s">
        <v>239</v>
      </c>
      <c r="F9" s="97" t="s">
        <v>239</v>
      </c>
      <c r="G9" s="97" t="s">
        <v>239</v>
      </c>
      <c r="H9" s="97" t="s">
        <v>239</v>
      </c>
      <c r="I9" s="97" t="s">
        <v>239</v>
      </c>
      <c r="J9" s="97" t="s">
        <v>239</v>
      </c>
    </row>
    <row r="10" spans="1:10" ht="21.6" customHeight="1" x14ac:dyDescent="0.25">
      <c r="A10" s="54" t="s">
        <v>31</v>
      </c>
      <c r="B10" s="101">
        <v>3.8699999999999998E-2</v>
      </c>
      <c r="C10" s="98" t="s">
        <v>178</v>
      </c>
      <c r="D10" s="101" t="s">
        <v>239</v>
      </c>
      <c r="E10" s="101" t="s">
        <v>239</v>
      </c>
      <c r="F10" s="101" t="s">
        <v>239</v>
      </c>
      <c r="G10" s="101" t="s">
        <v>239</v>
      </c>
      <c r="H10" s="101" t="s">
        <v>239</v>
      </c>
      <c r="I10" s="101" t="s">
        <v>239</v>
      </c>
      <c r="J10" s="101" t="s">
        <v>239</v>
      </c>
    </row>
    <row r="11" spans="1:10" x14ac:dyDescent="0.25">
      <c r="A11" s="54" t="s">
        <v>32</v>
      </c>
      <c r="B11" s="101">
        <v>1701.0118060979999</v>
      </c>
      <c r="C11" s="98" t="s">
        <v>178</v>
      </c>
      <c r="D11" s="101" t="s">
        <v>239</v>
      </c>
      <c r="E11" s="101" t="s">
        <v>239</v>
      </c>
      <c r="F11" s="101" t="s">
        <v>239</v>
      </c>
      <c r="G11" s="101" t="s">
        <v>239</v>
      </c>
      <c r="H11" s="101" t="s">
        <v>239</v>
      </c>
      <c r="I11" s="101" t="s">
        <v>239</v>
      </c>
      <c r="J11" s="101" t="s">
        <v>239</v>
      </c>
    </row>
    <row r="12" spans="1:10" s="7" customFormat="1" x14ac:dyDescent="0.25">
      <c r="A12" s="9" t="s">
        <v>33</v>
      </c>
      <c r="B12" s="45">
        <v>0.94230000000000003</v>
      </c>
      <c r="C12" s="98" t="s">
        <v>178</v>
      </c>
      <c r="D12" s="45" t="s">
        <v>239</v>
      </c>
      <c r="E12" s="45" t="s">
        <v>239</v>
      </c>
      <c r="F12" s="45" t="s">
        <v>239</v>
      </c>
      <c r="G12" s="45" t="s">
        <v>239</v>
      </c>
      <c r="H12" s="45" t="s">
        <v>239</v>
      </c>
      <c r="I12" s="45" t="s">
        <v>239</v>
      </c>
      <c r="J12" s="45" t="s">
        <v>239</v>
      </c>
    </row>
    <row r="13" spans="1:10" s="7" customFormat="1" x14ac:dyDescent="0.25">
      <c r="A13" s="9" t="s">
        <v>34</v>
      </c>
      <c r="B13" s="45">
        <v>0.13569599999999998</v>
      </c>
      <c r="C13" s="98" t="s">
        <v>178</v>
      </c>
      <c r="D13" s="45" t="s">
        <v>239</v>
      </c>
      <c r="E13" s="45" t="s">
        <v>239</v>
      </c>
      <c r="F13" s="45" t="s">
        <v>239</v>
      </c>
      <c r="G13" s="45" t="s">
        <v>239</v>
      </c>
      <c r="H13" s="45" t="s">
        <v>239</v>
      </c>
      <c r="I13" s="45" t="s">
        <v>239</v>
      </c>
      <c r="J13" s="45" t="s">
        <v>239</v>
      </c>
    </row>
    <row r="14" spans="1:10" s="7" customFormat="1" x14ac:dyDescent="0.25">
      <c r="A14" s="9" t="s">
        <v>35</v>
      </c>
      <c r="B14" s="102">
        <v>33.940991652199997</v>
      </c>
      <c r="C14" s="98" t="s">
        <v>178</v>
      </c>
      <c r="D14" s="102" t="s">
        <v>239</v>
      </c>
      <c r="E14" s="102" t="s">
        <v>239</v>
      </c>
      <c r="F14" s="102" t="s">
        <v>239</v>
      </c>
      <c r="G14" s="102" t="s">
        <v>239</v>
      </c>
      <c r="H14" s="102" t="s">
        <v>239</v>
      </c>
      <c r="I14" s="102" t="s">
        <v>239</v>
      </c>
      <c r="J14" s="102" t="s">
        <v>239</v>
      </c>
    </row>
    <row r="15" spans="1:10" x14ac:dyDescent="0.25">
      <c r="A15" s="54" t="s">
        <v>37</v>
      </c>
      <c r="B15" s="44">
        <v>1.34E-4</v>
      </c>
      <c r="C15" s="98" t="s">
        <v>178</v>
      </c>
      <c r="D15" s="44" t="s">
        <v>239</v>
      </c>
      <c r="E15" s="44" t="s">
        <v>239</v>
      </c>
      <c r="F15" s="44" t="s">
        <v>239</v>
      </c>
      <c r="G15" s="44" t="s">
        <v>239</v>
      </c>
      <c r="H15" s="44" t="s">
        <v>239</v>
      </c>
      <c r="I15" s="44" t="s">
        <v>239</v>
      </c>
      <c r="J15" s="44" t="s">
        <v>239</v>
      </c>
    </row>
    <row r="16" spans="1:10" s="7" customFormat="1" ht="25.8" customHeight="1" x14ac:dyDescent="0.25">
      <c r="A16" s="9" t="s">
        <v>38</v>
      </c>
      <c r="B16" s="102">
        <v>45.612009743800002</v>
      </c>
      <c r="C16" s="98" t="s">
        <v>178</v>
      </c>
      <c r="D16" s="102" t="s">
        <v>239</v>
      </c>
      <c r="E16" s="102" t="s">
        <v>239</v>
      </c>
      <c r="F16" s="102" t="s">
        <v>239</v>
      </c>
      <c r="G16" s="102" t="s">
        <v>239</v>
      </c>
      <c r="H16" s="102" t="s">
        <v>239</v>
      </c>
      <c r="I16" s="102" t="s">
        <v>239</v>
      </c>
      <c r="J16" s="102" t="s">
        <v>239</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179</v>
      </c>
      <c r="B1" s="124"/>
      <c r="C1" s="124"/>
      <c r="D1" s="124"/>
      <c r="E1" s="124"/>
      <c r="F1" s="124"/>
    </row>
    <row r="2" spans="1:6" x14ac:dyDescent="0.25">
      <c r="A2" s="51" t="s">
        <v>180</v>
      </c>
      <c r="B2" s="50" t="s">
        <v>181</v>
      </c>
      <c r="C2" s="50" t="s">
        <v>182</v>
      </c>
      <c r="D2" s="50" t="s">
        <v>183</v>
      </c>
      <c r="E2" s="50" t="s">
        <v>151</v>
      </c>
      <c r="F2" s="50" t="s">
        <v>184</v>
      </c>
    </row>
    <row r="3" spans="1:6" ht="48" customHeight="1" x14ac:dyDescent="0.25">
      <c r="A3" s="104">
        <v>43535</v>
      </c>
      <c r="B3" s="52" t="s">
        <v>185</v>
      </c>
      <c r="C3" s="105" t="s">
        <v>186</v>
      </c>
      <c r="D3" s="105"/>
      <c r="E3" s="52" t="s">
        <v>157</v>
      </c>
      <c r="F3" s="105" t="s">
        <v>187</v>
      </c>
    </row>
    <row r="4" spans="1:6" ht="49.5" customHeight="1" x14ac:dyDescent="0.25">
      <c r="A4" s="104">
        <v>43535</v>
      </c>
      <c r="B4" s="52" t="s">
        <v>188</v>
      </c>
      <c r="C4" s="105" t="s">
        <v>189</v>
      </c>
      <c r="D4" s="105"/>
      <c r="E4" s="52" t="s">
        <v>190</v>
      </c>
      <c r="F4" s="105"/>
    </row>
    <row r="5" spans="1:6" ht="125.4" x14ac:dyDescent="0.25">
      <c r="A5" s="104">
        <v>43438</v>
      </c>
      <c r="B5" s="52" t="s">
        <v>191</v>
      </c>
      <c r="C5" s="105" t="s">
        <v>186</v>
      </c>
      <c r="D5" s="105"/>
      <c r="E5" s="52" t="s">
        <v>192</v>
      </c>
      <c r="F5" s="105" t="s">
        <v>193</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194</v>
      </c>
      <c r="B21" s="143"/>
      <c r="C21" s="143"/>
      <c r="D21" s="143"/>
      <c r="E21" s="143"/>
      <c r="F21" s="143"/>
    </row>
    <row r="22" spans="1:6" x14ac:dyDescent="0.25">
      <c r="A22" s="84" t="s">
        <v>180</v>
      </c>
      <c r="B22" s="84" t="s">
        <v>181</v>
      </c>
      <c r="C22" s="84" t="s">
        <v>195</v>
      </c>
      <c r="D22" s="84" t="s">
        <v>196</v>
      </c>
      <c r="E22" s="84" t="s">
        <v>151</v>
      </c>
      <c r="F22" s="84" t="s">
        <v>184</v>
      </c>
    </row>
    <row r="23" spans="1:6" x14ac:dyDescent="0.25">
      <c r="A23" s="107">
        <v>43497</v>
      </c>
      <c r="B23" s="58" t="s">
        <v>197</v>
      </c>
      <c r="C23" s="108" t="s">
        <v>198</v>
      </c>
      <c r="D23" s="108"/>
      <c r="E23" s="58" t="s">
        <v>155</v>
      </c>
      <c r="F23" s="108" t="s">
        <v>199</v>
      </c>
    </row>
    <row r="24" spans="1:6" x14ac:dyDescent="0.25">
      <c r="A24" s="107">
        <v>43496</v>
      </c>
      <c r="B24" s="58" t="s">
        <v>200</v>
      </c>
      <c r="C24" s="108" t="s">
        <v>201</v>
      </c>
      <c r="D24" s="108"/>
      <c r="E24" s="58" t="s">
        <v>202</v>
      </c>
      <c r="F24" s="108" t="s">
        <v>203</v>
      </c>
    </row>
    <row r="25" spans="1:6" x14ac:dyDescent="0.25">
      <c r="A25" s="107">
        <v>43433</v>
      </c>
      <c r="B25" s="58" t="s">
        <v>204</v>
      </c>
      <c r="C25" s="108" t="s">
        <v>205</v>
      </c>
      <c r="D25" s="108"/>
      <c r="E25" s="58" t="s">
        <v>206</v>
      </c>
      <c r="F25" s="108" t="s">
        <v>207</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208</v>
      </c>
      <c r="B1" s="124"/>
      <c r="C1" s="124"/>
      <c r="D1" s="124"/>
      <c r="E1" s="124"/>
      <c r="F1" s="124"/>
      <c r="G1" s="124"/>
      <c r="H1" s="124"/>
      <c r="I1" s="124"/>
      <c r="J1" s="124"/>
      <c r="K1" s="124"/>
      <c r="L1" s="124"/>
      <c r="M1" s="124"/>
      <c r="N1" s="124"/>
    </row>
    <row r="2" spans="1:18" s="1" customFormat="1" ht="25.5" customHeight="1" x14ac:dyDescent="0.25">
      <c r="A2" s="55" t="s">
        <v>209</v>
      </c>
      <c r="B2" s="55" t="s">
        <v>210</v>
      </c>
      <c r="C2" s="55" t="s">
        <v>211</v>
      </c>
      <c r="D2" s="55" t="s">
        <v>212</v>
      </c>
      <c r="E2" s="55" t="s">
        <v>213</v>
      </c>
      <c r="F2" s="55" t="s">
        <v>214</v>
      </c>
      <c r="G2" s="55" t="s">
        <v>215</v>
      </c>
      <c r="H2" s="55" t="s">
        <v>16</v>
      </c>
      <c r="I2" s="55" t="s">
        <v>216</v>
      </c>
      <c r="J2" s="55" t="s">
        <v>217</v>
      </c>
      <c r="K2" s="55" t="s">
        <v>218</v>
      </c>
      <c r="L2" s="55" t="s">
        <v>219</v>
      </c>
      <c r="M2" s="55" t="s">
        <v>19</v>
      </c>
      <c r="N2" s="55" t="s">
        <v>220</v>
      </c>
      <c r="O2" s="3"/>
      <c r="P2" s="110" t="str">
        <f ca="1">Q2</f>
        <v>2019-04-16</v>
      </c>
      <c r="Q2" s="1" t="str">
        <f ca="1">[1]!td(R2-1)</f>
        <v>2019-04-16</v>
      </c>
      <c r="R2" s="3">
        <f ca="1">TODAY()</f>
        <v>43572</v>
      </c>
    </row>
    <row r="3" spans="1:18" ht="15.75" customHeight="1" x14ac:dyDescent="0.25">
      <c r="A3" s="111" t="str">
        <f>[1]!b_info_name(L3)</f>
        <v>19川发展MTN001</v>
      </c>
      <c r="B3" s="2" t="str">
        <f>[1]!b_issue_firstissue(L3)</f>
        <v>2019-04-18</v>
      </c>
      <c r="C3" s="111">
        <f>[1]!b_info_term(L3)</f>
        <v>3</v>
      </c>
      <c r="D3" s="112" t="str">
        <f>[1]!issuerrating(L3)</f>
        <v>AAA</v>
      </c>
      <c r="E3" s="112" t="str">
        <f>[1]!b_info_creditrating(L3)</f>
        <v>AAA</v>
      </c>
      <c r="F3" s="111" t="str">
        <f>[1]!b_rate_creditratingagency(L3)</f>
        <v>中诚信国际信用评级有限责任公司</v>
      </c>
      <c r="G3" s="113">
        <f>[1]!b_agency_guarantor(L3)</f>
        <v>0</v>
      </c>
      <c r="H3" s="114" t="s">
        <v>221</v>
      </c>
      <c r="I3" s="66"/>
      <c r="J3" s="115" t="s">
        <v>221</v>
      </c>
      <c r="K3" s="116"/>
      <c r="L3" s="41" t="str">
        <f>公式页!A2</f>
        <v>q19041607.IB</v>
      </c>
      <c r="M3" s="114" t="s">
        <v>221</v>
      </c>
      <c r="N3" s="111" t="str">
        <f>[1]!b_agency_leadunderwriter(L3)</f>
        <v>中国建设银行股份有限公司,中国邮政储蓄银行股份有限公司</v>
      </c>
      <c r="P3" s="109" t="str">
        <f t="shared" ref="P3:P29" ca="1" si="0">$P$2</f>
        <v>2019-04-16</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3.7423999999999999</v>
      </c>
      <c r="K4" s="116">
        <f>K3</f>
        <v>0</v>
      </c>
      <c r="L4" s="4" t="s">
        <v>222</v>
      </c>
      <c r="M4" s="114">
        <f>[1]!b_info_issueamount(L4)/100000000</f>
        <v>5</v>
      </c>
      <c r="N4" s="111" t="str">
        <f>[1]!b_agency_leadunderwriter(L4)</f>
        <v>上海浦东发展银行股份有限公司,中国国际金融股份有限公司</v>
      </c>
      <c r="P4" s="109" t="str">
        <f t="shared" ca="1" si="0"/>
        <v>2019-04-16</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2019-04-16</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2019-04-16</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2019-04-16</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2019-04-16</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2019-04-16</v>
      </c>
    </row>
    <row r="10" spans="1:18" x14ac:dyDescent="0.25">
      <c r="P10" s="109" t="str">
        <f t="shared" ca="1" si="0"/>
        <v>2019-04-16</v>
      </c>
    </row>
    <row r="11" spans="1:18" x14ac:dyDescent="0.25">
      <c r="P11" s="109" t="str">
        <f t="shared" ca="1" si="0"/>
        <v>2019-04-16</v>
      </c>
    </row>
    <row r="12" spans="1:18" x14ac:dyDescent="0.25">
      <c r="A12" s="150" t="s">
        <v>223</v>
      </c>
      <c r="B12" s="124"/>
      <c r="C12" s="124"/>
      <c r="D12" s="124"/>
      <c r="E12" s="124"/>
      <c r="F12" s="124"/>
      <c r="G12" s="124"/>
      <c r="H12" s="124"/>
      <c r="I12" s="124"/>
      <c r="J12" s="124"/>
      <c r="K12" s="124"/>
      <c r="L12" s="124"/>
      <c r="M12" s="124"/>
      <c r="N12" s="124"/>
      <c r="P12" s="109" t="str">
        <f t="shared" ca="1" si="0"/>
        <v>2019-04-16</v>
      </c>
    </row>
    <row r="13" spans="1:18" s="1" customFormat="1" ht="43.2" customHeight="1" x14ac:dyDescent="0.25">
      <c r="A13" s="55" t="s">
        <v>209</v>
      </c>
      <c r="B13" s="55" t="s">
        <v>210</v>
      </c>
      <c r="C13" s="55" t="s">
        <v>211</v>
      </c>
      <c r="D13" s="55" t="s">
        <v>212</v>
      </c>
      <c r="E13" s="55" t="s">
        <v>213</v>
      </c>
      <c r="F13" s="55" t="s">
        <v>214</v>
      </c>
      <c r="G13" s="55" t="s">
        <v>215</v>
      </c>
      <c r="H13" s="55" t="s">
        <v>16</v>
      </c>
      <c r="I13" s="55" t="s">
        <v>216</v>
      </c>
      <c r="J13" s="55" t="s">
        <v>217</v>
      </c>
      <c r="K13" s="55" t="s">
        <v>218</v>
      </c>
      <c r="L13" s="55" t="s">
        <v>219</v>
      </c>
      <c r="M13" s="55" t="s">
        <v>19</v>
      </c>
      <c r="N13" s="55" t="s">
        <v>220</v>
      </c>
      <c r="P13" s="109" t="str">
        <f t="shared" ca="1" si="0"/>
        <v>2019-04-16</v>
      </c>
    </row>
    <row r="14" spans="1:18" ht="15.75" customHeight="1" x14ac:dyDescent="0.25">
      <c r="A14" s="111" t="str">
        <f>[1]!b_info_name(L14)</f>
        <v>19川发展MTN001</v>
      </c>
      <c r="B14" s="2" t="str">
        <f>[1]!b_issue_firstissue(L14)</f>
        <v>2019-04-18</v>
      </c>
      <c r="C14" s="111">
        <f>[1]!b_info_term(L14)</f>
        <v>3</v>
      </c>
      <c r="D14" s="112" t="str">
        <f>[1]!issuerrating(L14)</f>
        <v>AAA</v>
      </c>
      <c r="E14" s="112" t="str">
        <f>[1]!b_info_creditrating(L14)</f>
        <v>AAA</v>
      </c>
      <c r="F14" s="111" t="str">
        <f>[1]!b_rate_creditratingagency(L14)</f>
        <v>中诚信国际信用评级有限责任公司</v>
      </c>
      <c r="G14" s="113">
        <f>[1]!b_agency_guarantor(L14)</f>
        <v>0</v>
      </c>
      <c r="H14" s="114" t="s">
        <v>221</v>
      </c>
      <c r="I14" s="66"/>
      <c r="J14" s="115" t="s">
        <v>221</v>
      </c>
      <c r="K14" s="116">
        <f>K3</f>
        <v>0</v>
      </c>
      <c r="L14" s="42" t="str">
        <f>L3</f>
        <v>q19041607.IB</v>
      </c>
      <c r="M14" s="114" t="s">
        <v>221</v>
      </c>
      <c r="N14" s="111" t="str">
        <f>[1]!b_agency_leadunderwriter(L14)</f>
        <v>中国建设银行股份有限公司,中国邮政储蓄银行股份有限公司</v>
      </c>
      <c r="P14" s="109" t="str">
        <f t="shared" ca="1" si="0"/>
        <v>2019-04-16</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224</v>
      </c>
      <c r="M15" s="114">
        <f>[1]!b_info_issueamount(L15)/100000000</f>
        <v>5</v>
      </c>
      <c r="N15" s="111" t="str">
        <f>[1]!b_agency_leadunderwriter(L15)</f>
        <v>招商银行股份有限公司</v>
      </c>
      <c r="O15" t="str">
        <f>[1]!b_issuer_windindustry(L15,4)</f>
        <v>西药</v>
      </c>
      <c r="P15" s="109" t="str">
        <f t="shared" ca="1" si="0"/>
        <v>2019-04-16</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225</v>
      </c>
      <c r="M16" s="114">
        <f>[1]!b_info_issueamount(L16)/100000000</f>
        <v>6</v>
      </c>
      <c r="N16" s="111" t="str">
        <f>[1]!b_agency_leadunderwriter(L16)</f>
        <v>北京银行股份有限公司</v>
      </c>
      <c r="O16" t="str">
        <f>[1]!b_issuer_windindustry(L16,4)</f>
        <v>化肥与农用化工</v>
      </c>
      <c r="P16" s="109" t="str">
        <f t="shared" ca="1" si="0"/>
        <v>2019-04-16</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226</v>
      </c>
      <c r="M17" s="114">
        <f>[1]!b_info_issueamount(L17)/100000000</f>
        <v>3.5</v>
      </c>
      <c r="N17" s="111" t="str">
        <f>[1]!b_agency_leadunderwriter(L17)</f>
        <v>华夏银行股份有限公司</v>
      </c>
      <c r="O17" t="str">
        <f>[1]!b_issuer_windindustry(L17,4)</f>
        <v>食品加工与肉类</v>
      </c>
      <c r="P17" s="109" t="str">
        <f t="shared" ca="1" si="0"/>
        <v>2019-04-16</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227</v>
      </c>
      <c r="M18" s="114">
        <f>[1]!b_info_issueamount(L18)/100000000</f>
        <v>3</v>
      </c>
      <c r="N18" s="111" t="str">
        <f>[1]!b_agency_leadunderwriter(L18)</f>
        <v>兴业银行股份有限公司</v>
      </c>
      <c r="O18" t="str">
        <f>[1]!b_issuer_windindustry(L18,4)</f>
        <v>工业机械</v>
      </c>
      <c r="P18" s="109" t="str">
        <f t="shared" ca="1" si="0"/>
        <v>2019-04-16</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228</v>
      </c>
      <c r="M19" s="114">
        <f>[1]!b_info_issueamount(L19)/100000000</f>
        <v>3</v>
      </c>
      <c r="N19" s="111" t="str">
        <f>[1]!b_agency_leadunderwriter(L19)</f>
        <v>中国银行股份有限公司</v>
      </c>
      <c r="O19" t="str">
        <f>[1]!b_issuer_windindustry(L19,4)</f>
        <v>半导体产品</v>
      </c>
      <c r="P19" s="109" t="str">
        <f t="shared" ca="1" si="0"/>
        <v>2019-04-16</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229</v>
      </c>
      <c r="M20" s="114">
        <f>[1]!b_info_issueamount(L20)/100000000</f>
        <v>5</v>
      </c>
      <c r="N20" s="111" t="str">
        <f>[1]!b_agency_leadunderwriter(L20)</f>
        <v>中国银行股份有限公司</v>
      </c>
      <c r="O20" t="str">
        <f>[1]!b_issuer_windindustry(L20,4)</f>
        <v>医疗保健用品</v>
      </c>
      <c r="P20" s="109" t="str">
        <f t="shared" ca="1" si="0"/>
        <v>2019-04-16</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230</v>
      </c>
      <c r="M21" s="114">
        <f>[1]!b_info_issueamount(L21)/100000000</f>
        <v>2</v>
      </c>
      <c r="N21" s="111" t="str">
        <f>[1]!b_agency_leadunderwriter(L21)</f>
        <v>中国银行股份有限公司</v>
      </c>
      <c r="O21" t="str">
        <f>[1]!b_issuer_windindustry(L21,4)</f>
        <v>食品加工与肉类</v>
      </c>
      <c r="P21" s="109" t="str">
        <f t="shared" ca="1" si="0"/>
        <v>2019-04-16</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231</v>
      </c>
      <c r="M22" s="114">
        <f>[1]!b_info_issueamount(L22)/100000000</f>
        <v>4</v>
      </c>
      <c r="N22" s="111" t="str">
        <f>[1]!b_agency_leadunderwriter(L22)</f>
        <v>中国工商银行股份有限公司</v>
      </c>
      <c r="O22" t="str">
        <f>[1]!b_issuer_windindustry(L22,4)</f>
        <v>酒店、度假村与豪华游轮</v>
      </c>
      <c r="P22" s="109" t="str">
        <f t="shared" ca="1" si="0"/>
        <v>2019-04-16</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232</v>
      </c>
      <c r="M23" s="114">
        <f>[1]!b_info_issueamount(L23)/100000000</f>
        <v>4</v>
      </c>
      <c r="N23" s="111" t="str">
        <f>[1]!b_agency_leadunderwriter(L23)</f>
        <v>中国银行股份有限公司</v>
      </c>
      <c r="O23" t="str">
        <f>[1]!b_issuer_windindustry(L23,4)</f>
        <v>金属非金属</v>
      </c>
      <c r="P23" s="109" t="str">
        <f t="shared" ca="1" si="0"/>
        <v>2019-04-16</v>
      </c>
    </row>
    <row r="24" spans="1:16" x14ac:dyDescent="0.25">
      <c r="P24" s="109" t="str">
        <f t="shared" ca="1" si="0"/>
        <v>2019-04-16</v>
      </c>
    </row>
    <row r="25" spans="1:16" x14ac:dyDescent="0.25">
      <c r="P25" s="109" t="str">
        <f t="shared" ca="1" si="0"/>
        <v>2019-04-16</v>
      </c>
    </row>
    <row r="26" spans="1:16" x14ac:dyDescent="0.25">
      <c r="P26" s="109" t="str">
        <f t="shared" ca="1" si="0"/>
        <v>2019-04-16</v>
      </c>
    </row>
    <row r="27" spans="1:16" x14ac:dyDescent="0.25">
      <c r="P27" s="109" t="str">
        <f t="shared" ca="1" si="0"/>
        <v>2019-04-16</v>
      </c>
    </row>
    <row r="28" spans="1:16" x14ac:dyDescent="0.25">
      <c r="P28" s="109" t="str">
        <f t="shared" ca="1" si="0"/>
        <v>2019-04-16</v>
      </c>
    </row>
    <row r="29" spans="1:16" x14ac:dyDescent="0.25">
      <c r="P29" s="109"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2019-04-17T07:56:03Z</dcterms:modified>
</cp:coreProperties>
</file>