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8新券信评\"/>
    </mc:Choice>
  </mc:AlternateContent>
  <xr:revisionPtr revIDLastSave="0" documentId="13_ncr:1_{35D49DDE-B37A-407D-AC99-8B30CD8E95B3}" xr6:coauthVersionLast="43" xr6:coauthVersionMax="43" xr10:uidLastSave="{00000000-0000-0000-0000-000000000000}"/>
  <bookViews>
    <workbookView xWindow="108" yWindow="1008" windowWidth="17280" windowHeight="8964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E4" i="6"/>
  <c r="G3" i="6"/>
  <c r="H23" i="6"/>
  <c r="E22" i="6"/>
  <c r="M21" i="6"/>
  <c r="B21" i="6"/>
  <c r="G20" i="6"/>
  <c r="O19" i="6"/>
  <c r="D19" i="6"/>
  <c r="A18" i="6"/>
  <c r="F17" i="6"/>
  <c r="N16" i="6"/>
  <c r="C16" i="6"/>
  <c r="H15" i="6"/>
  <c r="C14" i="6"/>
  <c r="N9" i="6"/>
  <c r="E9" i="6"/>
  <c r="B8" i="6"/>
  <c r="G7" i="6"/>
  <c r="N6" i="6"/>
  <c r="G6" i="6"/>
  <c r="N5" i="6"/>
  <c r="E5" i="6"/>
  <c r="B4" i="6"/>
  <c r="D3" i="6"/>
  <c r="M22" i="6"/>
  <c r="G21" i="6"/>
  <c r="D20" i="6"/>
  <c r="A19" i="6"/>
  <c r="N17" i="6"/>
  <c r="H16" i="6"/>
  <c r="E15" i="6"/>
  <c r="D9" i="6"/>
  <c r="F8" i="6"/>
  <c r="F7" i="6"/>
  <c r="D6" i="6"/>
  <c r="D5" i="6"/>
  <c r="F4" i="6"/>
  <c r="Q2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O23" i="6"/>
  <c r="F21" i="6"/>
  <c r="C20" i="6"/>
  <c r="M17" i="6"/>
  <c r="G16" i="6"/>
  <c r="D15" i="6"/>
  <c r="A9" i="6"/>
  <c r="A8" i="6"/>
  <c r="C7" i="6"/>
  <c r="C6" i="6"/>
  <c r="A5" i="6"/>
  <c r="A4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E23" i="6"/>
  <c r="O20" i="6"/>
  <c r="F18" i="6"/>
  <c r="M7" i="6"/>
  <c r="M138" i="1"/>
  <c r="S134" i="1"/>
  <c r="M132" i="1"/>
  <c r="M130" i="1"/>
  <c r="S128" i="1"/>
  <c r="D111" i="1"/>
  <c r="S109" i="1"/>
  <c r="J103" i="1"/>
  <c r="Q101" i="1"/>
  <c r="F101" i="1"/>
  <c r="O100" i="1"/>
  <c r="D100" i="1"/>
  <c r="M99" i="1"/>
  <c r="B99" i="1"/>
  <c r="J98" i="1"/>
  <c r="Q97" i="1"/>
  <c r="F97" i="1"/>
  <c r="O96" i="1"/>
  <c r="F96" i="1"/>
  <c r="F95" i="1"/>
  <c r="G94" i="1"/>
  <c r="B94" i="1"/>
  <c r="B93" i="1"/>
  <c r="C92" i="1"/>
  <c r="D91" i="1"/>
  <c r="D90" i="1"/>
  <c r="E89" i="1"/>
  <c r="F88" i="1"/>
  <c r="F87" i="1"/>
  <c r="G86" i="1"/>
  <c r="B86" i="1"/>
  <c r="B85" i="1"/>
  <c r="C84" i="1"/>
  <c r="D83" i="1"/>
  <c r="D82" i="1"/>
  <c r="E81" i="1"/>
  <c r="F80" i="1"/>
  <c r="F79" i="1"/>
  <c r="G78" i="1"/>
  <c r="B78" i="1"/>
  <c r="B77" i="1"/>
  <c r="C76" i="1"/>
  <c r="D75" i="1"/>
  <c r="D74" i="1"/>
  <c r="E73" i="1"/>
  <c r="F72" i="1"/>
  <c r="F71" i="1"/>
  <c r="G70" i="1"/>
  <c r="B70" i="1"/>
  <c r="B69" i="1"/>
  <c r="C68" i="1"/>
  <c r="D67" i="1"/>
  <c r="D66" i="1"/>
  <c r="E65" i="1"/>
  <c r="F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C22" i="1"/>
  <c r="L21" i="1"/>
  <c r="E21" i="1"/>
  <c r="N20" i="1"/>
  <c r="C20" i="1"/>
  <c r="L19" i="1"/>
  <c r="G18" i="1"/>
  <c r="C18" i="1"/>
  <c r="L17" i="1"/>
  <c r="J16" i="1"/>
  <c r="Q15" i="1"/>
  <c r="D23" i="6"/>
  <c r="N20" i="6"/>
  <c r="E18" i="6"/>
  <c r="O15" i="6"/>
  <c r="C3" i="6"/>
  <c r="S140" i="1"/>
  <c r="S136" i="1"/>
  <c r="S133" i="1"/>
  <c r="M131" i="1"/>
  <c r="S129" i="1"/>
  <c r="M110" i="1"/>
  <c r="F109" i="1"/>
  <c r="R103" i="1"/>
  <c r="G102" i="1"/>
  <c r="P101" i="1"/>
  <c r="E101" i="1"/>
  <c r="N100" i="1"/>
  <c r="C100" i="1"/>
  <c r="L99" i="1"/>
  <c r="R98" i="1"/>
  <c r="G98" i="1"/>
  <c r="P97" i="1"/>
  <c r="E97" i="1"/>
  <c r="N96" i="1"/>
  <c r="D96" i="1"/>
  <c r="E95" i="1"/>
  <c r="F94" i="1"/>
  <c r="F93" i="1"/>
  <c r="G92" i="1"/>
  <c r="B92" i="1"/>
  <c r="B91" i="1"/>
  <c r="C90" i="1"/>
  <c r="D89" i="1"/>
  <c r="D88" i="1"/>
  <c r="E87" i="1"/>
  <c r="F86" i="1"/>
  <c r="F85" i="1"/>
  <c r="G84" i="1"/>
  <c r="B84" i="1"/>
  <c r="B83" i="1"/>
  <c r="C82" i="1"/>
  <c r="D81" i="1"/>
  <c r="D80" i="1"/>
  <c r="E79" i="1"/>
  <c r="F78" i="1"/>
  <c r="F77" i="1"/>
  <c r="G76" i="1"/>
  <c r="B76" i="1"/>
  <c r="B75" i="1"/>
  <c r="C74" i="1"/>
  <c r="D73" i="1"/>
  <c r="D72" i="1"/>
  <c r="E71" i="1"/>
  <c r="F70" i="1"/>
  <c r="F69" i="1"/>
  <c r="G68" i="1"/>
  <c r="B68" i="1"/>
  <c r="B67" i="1"/>
  <c r="C66" i="1"/>
  <c r="D65" i="1"/>
  <c r="D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P21" i="1"/>
  <c r="R20" i="1"/>
  <c r="G20" i="1"/>
  <c r="P19" i="1"/>
  <c r="E19" i="1"/>
  <c r="P17" i="1"/>
  <c r="E17" i="1"/>
  <c r="D16" i="1"/>
  <c r="B22" i="6"/>
  <c r="C17" i="6"/>
  <c r="M6" i="6"/>
  <c r="M140" i="1"/>
  <c r="M136" i="1"/>
  <c r="O133" i="1"/>
  <c r="O129" i="1"/>
  <c r="S111" i="1"/>
  <c r="D109" i="1"/>
  <c r="O103" i="1"/>
  <c r="D102" i="1"/>
  <c r="M101" i="1"/>
  <c r="B101" i="1"/>
  <c r="J100" i="1"/>
  <c r="Q99" i="1"/>
  <c r="F99" i="1"/>
  <c r="O98" i="1"/>
  <c r="D98" i="1"/>
  <c r="M97" i="1"/>
  <c r="B97" i="1"/>
  <c r="J96" i="1"/>
  <c r="C96" i="1"/>
  <c r="D95" i="1"/>
  <c r="D94" i="1"/>
  <c r="E93" i="1"/>
  <c r="F92" i="1"/>
  <c r="F91" i="1"/>
  <c r="G90" i="1"/>
  <c r="B90" i="1"/>
  <c r="B89" i="1"/>
  <c r="C88" i="1"/>
  <c r="D87" i="1"/>
  <c r="D86" i="1"/>
  <c r="E85" i="1"/>
  <c r="F84" i="1"/>
  <c r="F83" i="1"/>
  <c r="G82" i="1"/>
  <c r="B82" i="1"/>
  <c r="B81" i="1"/>
  <c r="A22" i="6"/>
  <c r="G14" i="6"/>
  <c r="M135" i="1"/>
  <c r="M127" i="1"/>
  <c r="L101" i="1"/>
  <c r="E99" i="1"/>
  <c r="R96" i="1"/>
  <c r="C94" i="1"/>
  <c r="F90" i="1"/>
  <c r="B87" i="1"/>
  <c r="E83" i="1"/>
  <c r="C80" i="1"/>
  <c r="D78" i="1"/>
  <c r="F76" i="1"/>
  <c r="G74" i="1"/>
  <c r="B73" i="1"/>
  <c r="D71" i="1"/>
  <c r="E69" i="1"/>
  <c r="F67" i="1"/>
  <c r="B66" i="1"/>
  <c r="C64" i="1"/>
  <c r="F62" i="1"/>
  <c r="D61" i="1"/>
  <c r="B60" i="1"/>
  <c r="F58" i="1"/>
  <c r="D57" i="1"/>
  <c r="B56" i="1"/>
  <c r="F54" i="1"/>
  <c r="D53" i="1"/>
  <c r="B52" i="1"/>
  <c r="F50" i="1"/>
  <c r="D49" i="1"/>
  <c r="B48" i="1"/>
  <c r="F46" i="1"/>
  <c r="D45" i="1"/>
  <c r="B44" i="1"/>
  <c r="F42" i="1"/>
  <c r="D41" i="1"/>
  <c r="B40" i="1"/>
  <c r="F38" i="1"/>
  <c r="D37" i="1"/>
  <c r="B36" i="1"/>
  <c r="F34" i="1"/>
  <c r="D33" i="1"/>
  <c r="B32" i="1"/>
  <c r="F30" i="1"/>
  <c r="O29" i="1"/>
  <c r="D29" i="1"/>
  <c r="M28" i="1"/>
  <c r="B28" i="1"/>
  <c r="J27" i="1"/>
  <c r="Q26" i="1"/>
  <c r="F26" i="1"/>
  <c r="O25" i="1"/>
  <c r="D25" i="1"/>
  <c r="M24" i="1"/>
  <c r="B24" i="1"/>
  <c r="J23" i="1"/>
  <c r="F22" i="1"/>
  <c r="O21" i="1"/>
  <c r="D21" i="1"/>
  <c r="M20" i="1"/>
  <c r="B20" i="1"/>
  <c r="J19" i="1"/>
  <c r="F18" i="1"/>
  <c r="O17" i="1"/>
  <c r="D17" i="1"/>
  <c r="C16" i="1"/>
  <c r="M15" i="1"/>
  <c r="E15" i="1"/>
  <c r="F14" i="1"/>
  <c r="B11" i="1"/>
  <c r="F8" i="1"/>
  <c r="E5" i="1"/>
  <c r="C43" i="1"/>
  <c r="C35" i="1"/>
  <c r="G29" i="1"/>
  <c r="E28" i="1"/>
  <c r="G25" i="1"/>
  <c r="H19" i="6"/>
  <c r="O132" i="1"/>
  <c r="S112" i="1"/>
  <c r="R100" i="1"/>
  <c r="N98" i="1"/>
  <c r="G96" i="1"/>
  <c r="D93" i="1"/>
  <c r="F89" i="1"/>
  <c r="C86" i="1"/>
  <c r="F82" i="1"/>
  <c r="B80" i="1"/>
  <c r="C78" i="1"/>
  <c r="D76" i="1"/>
  <c r="F74" i="1"/>
  <c r="G72" i="1"/>
  <c r="B71" i="1"/>
  <c r="D69" i="1"/>
  <c r="E67" i="1"/>
  <c r="F65" i="1"/>
  <c r="B64" i="1"/>
  <c r="E62" i="1"/>
  <c r="C61" i="1"/>
  <c r="G59" i="1"/>
  <c r="E58" i="1"/>
  <c r="C57" i="1"/>
  <c r="G55" i="1"/>
  <c r="E54" i="1"/>
  <c r="C53" i="1"/>
  <c r="G51" i="1"/>
  <c r="E50" i="1"/>
  <c r="C49" i="1"/>
  <c r="G47" i="1"/>
  <c r="E46" i="1"/>
  <c r="C45" i="1"/>
  <c r="G43" i="1"/>
  <c r="E42" i="1"/>
  <c r="C41" i="1"/>
  <c r="G39" i="1"/>
  <c r="E38" i="1"/>
  <c r="C37" i="1"/>
  <c r="G35" i="1"/>
  <c r="E34" i="1"/>
  <c r="C33" i="1"/>
  <c r="G31" i="1"/>
  <c r="E30" i="1"/>
  <c r="N29" i="1"/>
  <c r="C29" i="1"/>
  <c r="L28" i="1"/>
  <c r="R27" i="1"/>
  <c r="G27" i="1"/>
  <c r="P26" i="1"/>
  <c r="E26" i="1"/>
  <c r="N25" i="1"/>
  <c r="C25" i="1"/>
  <c r="L24" i="1"/>
  <c r="R23" i="1"/>
  <c r="G23" i="1"/>
  <c r="E22" i="1"/>
  <c r="N21" i="1"/>
  <c r="C21" i="1"/>
  <c r="L20" i="1"/>
  <c r="R19" i="1"/>
  <c r="G19" i="1"/>
  <c r="E18" i="1"/>
  <c r="N17" i="1"/>
  <c r="C17" i="1"/>
  <c r="B16" i="1"/>
  <c r="L15" i="1"/>
  <c r="D15" i="1"/>
  <c r="D14" i="1"/>
  <c r="F10" i="1"/>
  <c r="B8" i="1"/>
  <c r="E4" i="1"/>
  <c r="C14" i="1"/>
  <c r="B10" i="1"/>
  <c r="B4" i="1"/>
  <c r="P99" i="1"/>
  <c r="B95" i="1"/>
  <c r="B88" i="1"/>
  <c r="G80" i="1"/>
  <c r="D77" i="1"/>
  <c r="F73" i="1"/>
  <c r="C70" i="1"/>
  <c r="F66" i="1"/>
  <c r="C63" i="1"/>
  <c r="E60" i="1"/>
  <c r="G57" i="1"/>
  <c r="C55" i="1"/>
  <c r="E52" i="1"/>
  <c r="G49" i="1"/>
  <c r="C47" i="1"/>
  <c r="E44" i="1"/>
  <c r="E40" i="1"/>
  <c r="G37" i="1"/>
  <c r="G33" i="1"/>
  <c r="C31" i="1"/>
  <c r="P28" i="1"/>
  <c r="N27" i="1"/>
  <c r="R25" i="1"/>
  <c r="E24" i="1"/>
  <c r="N23" i="1"/>
  <c r="R21" i="1"/>
  <c r="P20" i="1"/>
  <c r="B17" i="6"/>
  <c r="O130" i="1"/>
  <c r="F111" i="1"/>
  <c r="N103" i="1"/>
  <c r="G100" i="1"/>
  <c r="C98" i="1"/>
  <c r="B96" i="1"/>
  <c r="D92" i="1"/>
  <c r="G88" i="1"/>
  <c r="D85" i="1"/>
  <c r="F81" i="1"/>
  <c r="D79" i="1"/>
  <c r="E77" i="1"/>
  <c r="F75" i="1"/>
  <c r="B74" i="1"/>
  <c r="C72" i="1"/>
  <c r="D70" i="1"/>
  <c r="F68" i="1"/>
  <c r="G66" i="1"/>
  <c r="B65" i="1"/>
  <c r="D63" i="1"/>
  <c r="B62" i="1"/>
  <c r="F60" i="1"/>
  <c r="D59" i="1"/>
  <c r="B58" i="1"/>
  <c r="F56" i="1"/>
  <c r="D55" i="1"/>
  <c r="B54" i="1"/>
  <c r="F52" i="1"/>
  <c r="D51" i="1"/>
  <c r="B50" i="1"/>
  <c r="F48" i="1"/>
  <c r="D47" i="1"/>
  <c r="B46" i="1"/>
  <c r="F44" i="1"/>
  <c r="D43" i="1"/>
  <c r="B42" i="1"/>
  <c r="F40" i="1"/>
  <c r="D39" i="1"/>
  <c r="B38" i="1"/>
  <c r="F36" i="1"/>
  <c r="D35" i="1"/>
  <c r="B34" i="1"/>
  <c r="F32" i="1"/>
  <c r="D31" i="1"/>
  <c r="B30" i="1"/>
  <c r="J29" i="1"/>
  <c r="Q28" i="1"/>
  <c r="F28" i="1"/>
  <c r="O27" i="1"/>
  <c r="D27" i="1"/>
  <c r="M26" i="1"/>
  <c r="B26" i="1"/>
  <c r="J25" i="1"/>
  <c r="Q24" i="1"/>
  <c r="F24" i="1"/>
  <c r="O23" i="1"/>
  <c r="D23" i="1"/>
  <c r="B22" i="1"/>
  <c r="J21" i="1"/>
  <c r="Q20" i="1"/>
  <c r="F20" i="1"/>
  <c r="O19" i="1"/>
  <c r="D19" i="1"/>
  <c r="B18" i="1"/>
  <c r="J17" i="1"/>
  <c r="G16" i="1"/>
  <c r="P15" i="1"/>
  <c r="J15" i="1"/>
  <c r="B15" i="1"/>
  <c r="B7" i="1"/>
  <c r="S138" i="1"/>
  <c r="C102" i="1"/>
  <c r="L97" i="1"/>
  <c r="E91" i="1"/>
  <c r="D84" i="1"/>
  <c r="B79" i="1"/>
  <c r="E75" i="1"/>
  <c r="B72" i="1"/>
  <c r="D68" i="1"/>
  <c r="G64" i="1"/>
  <c r="G61" i="1"/>
  <c r="C59" i="1"/>
  <c r="E56" i="1"/>
  <c r="G53" i="1"/>
  <c r="C51" i="1"/>
  <c r="E48" i="1"/>
  <c r="G45" i="1"/>
  <c r="G41" i="1"/>
  <c r="C39" i="1"/>
  <c r="E36" i="1"/>
  <c r="E32" i="1"/>
  <c r="R29" i="1"/>
  <c r="C27" i="1"/>
  <c r="L26" i="1"/>
  <c r="P24" i="1"/>
  <c r="C23" i="1"/>
  <c r="G21" i="1"/>
  <c r="E20" i="1"/>
  <c r="G17" i="1"/>
  <c r="N19" i="1"/>
  <c r="F16" i="1"/>
  <c r="B14" i="1"/>
  <c r="F15" i="1"/>
  <c r="G14" i="1"/>
  <c r="C19" i="1"/>
  <c r="O15" i="1"/>
  <c r="B9" i="1"/>
  <c r="R17" i="1"/>
  <c r="B6" i="1"/>
  <c r="H128" i="1" l="1"/>
  <c r="D120" i="1"/>
  <c r="H112" i="1"/>
  <c r="D122" i="1"/>
  <c r="R22" i="1"/>
  <c r="B117" i="1"/>
  <c r="B125" i="1"/>
  <c r="J22" i="1"/>
  <c r="H111" i="1"/>
  <c r="D119" i="1"/>
  <c r="D123" i="1"/>
  <c r="B126" i="1"/>
  <c r="B130" i="1"/>
  <c r="N22" i="1"/>
  <c r="B110" i="1"/>
  <c r="H119" i="1"/>
  <c r="B121" i="1"/>
  <c r="H123" i="1"/>
  <c r="H126" i="1"/>
  <c r="H130" i="1"/>
  <c r="O22" i="1"/>
  <c r="H109" i="1"/>
  <c r="H118" i="1"/>
  <c r="B120" i="1"/>
  <c r="B122" i="1"/>
  <c r="H124" i="1"/>
  <c r="B128" i="1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19" i="6"/>
  <c r="P9" i="6"/>
  <c r="P8" i="6"/>
  <c r="P5" i="6"/>
  <c r="P4" i="6"/>
  <c r="P26" i="6"/>
  <c r="P22" i="6"/>
  <c r="P14" i="6"/>
  <c r="P23" i="6"/>
  <c r="P13" i="6"/>
  <c r="P18" i="6"/>
  <c r="P12" i="6"/>
  <c r="P15" i="6"/>
  <c r="J8" i="6"/>
  <c r="J20" i="6"/>
  <c r="J9" i="6"/>
  <c r="J22" i="6"/>
  <c r="J7" i="6"/>
  <c r="J16" i="6"/>
  <c r="J19" i="6"/>
  <c r="J15" i="6"/>
  <c r="J23" i="6"/>
  <c r="J5" i="6"/>
  <c r="J18" i="6"/>
  <c r="J21" i="6"/>
  <c r="J6" i="6"/>
  <c r="J17" i="6"/>
</calcChain>
</file>

<file path=xl/sharedStrings.xml><?xml version="1.0" encoding="utf-8"?>
<sst xmlns="http://schemas.openxmlformats.org/spreadsheetml/2006/main" count="1194" uniqueCount="702">
  <si>
    <t>d19041715.IB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</si>
  <si>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</si>
  <si>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</si>
  <si>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</si>
  <si>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</si>
  <si>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</si>
  <si>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</si>
  <si>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</si>
  <si>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</si>
  <si>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</si>
  <si>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</si>
  <si>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</si>
  <si>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</si>
  <si>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</si>
  <si>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</si>
  <si>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</si>
  <si>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</si>
  <si>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</si>
  <si>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</si>
  <si>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</si>
  <si>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</si>
  <si>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</si>
  <si>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</si>
  <si>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112188.SZ</t>
  </si>
  <si>
    <t>主体级别</t>
  </si>
  <si>
    <t>AAA</t>
  </si>
  <si>
    <t>101453032.IB</t>
  </si>
  <si>
    <t>*选择性黏贴</t>
  </si>
  <si>
    <t>041564041.IB</t>
  </si>
  <si>
    <t>数据年度</t>
  </si>
  <si>
    <t>2017年</t>
  </si>
  <si>
    <t>1022002.IB</t>
  </si>
  <si>
    <t>总资产</t>
  </si>
  <si>
    <t>1422003.IB</t>
  </si>
  <si>
    <t>负债率</t>
  </si>
  <si>
    <t>1322006.IB</t>
  </si>
  <si>
    <t>流动比率</t>
  </si>
  <si>
    <t>101456061.IB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</si>
  <si>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</si>
  <si>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</si>
  <si>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</si>
  <si>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</si>
  <si>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</si>
  <si>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</si>
  <si>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</si>
  <si>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</si>
  <si>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</si>
  <si>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</si>
  <si>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</si>
  <si>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</si>
  <si>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</si>
  <si>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</si>
  <si>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</si>
  <si>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</si>
  <si>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</si>
  <si>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</si>
  <si>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</si>
  <si>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</si>
  <si>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</si>
  <si>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</si>
  <si>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</si>
  <si>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</si>
  <si>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</si>
  <si>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</si>
  <si>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</si>
  <si>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</si>
  <si>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</si>
  <si>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</si>
  <si>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</si>
  <si>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</si>
  <si>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</si>
  <si>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</si>
  <si>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</si>
  <si>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</si>
  <si>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</si>
  <si>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</si>
  <si>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</si>
  <si>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</si>
  <si>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</si>
  <si>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</si>
  <si>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</si>
  <si>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</si>
  <si>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</si>
  <si>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</si>
  <si>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</si>
  <si>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</si>
  <si>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</si>
  <si>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</si>
  <si>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</si>
  <si>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</si>
  <si>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</si>
  <si>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</si>
  <si>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</si>
  <si>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</si>
  <si>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</si>
  <si>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</si>
  <si>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</si>
  <si>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</si>
  <si>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</si>
  <si>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</si>
  <si>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</si>
  <si>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</si>
  <si>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</si>
  <si>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</si>
  <si>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</si>
  <si>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</si>
  <si>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</si>
  <si>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</si>
  <si>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</si>
  <si>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</si>
  <si>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</si>
  <si>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</si>
  <si>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</si>
  <si>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</si>
  <si>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</si>
  <si>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</si>
  <si>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</si>
  <si>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</si>
  <si>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</si>
  <si>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</si>
  <si>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</si>
  <si>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155346.SH</t>
  </si>
  <si>
    <t>20190418</t>
  </si>
  <si>
    <t>19安租01</t>
  </si>
  <si>
    <t>011900790.IB</t>
  </si>
  <si>
    <t>20190415</t>
  </si>
  <si>
    <t>19平安租赁SCP003</t>
  </si>
  <si>
    <t>156902.SH</t>
  </si>
  <si>
    <t>20190328</t>
  </si>
  <si>
    <t>19平1A1</t>
  </si>
  <si>
    <t>156903.SH</t>
  </si>
  <si>
    <t>19平1A2</t>
  </si>
  <si>
    <t>156904.SH</t>
  </si>
  <si>
    <t>19平1A3</t>
  </si>
  <si>
    <t>156905.SH</t>
  </si>
  <si>
    <t>19平1B</t>
  </si>
  <si>
    <t>156906.SH</t>
  </si>
  <si>
    <t>19平1C</t>
  </si>
  <si>
    <t>156907.SH</t>
  </si>
  <si>
    <t>19平1次</t>
  </si>
  <si>
    <t>156846.SH</t>
  </si>
  <si>
    <t>20190307</t>
  </si>
  <si>
    <t>安租11A</t>
  </si>
  <si>
    <t>156847.SH</t>
  </si>
  <si>
    <t>安租11B</t>
  </si>
  <si>
    <t>156848.SH</t>
  </si>
  <si>
    <t>安租11C</t>
  </si>
  <si>
    <t>156849.SH</t>
  </si>
  <si>
    <t>安租11次</t>
  </si>
  <si>
    <t>156722.SH</t>
  </si>
  <si>
    <t>20190130</t>
  </si>
  <si>
    <t>平安十A</t>
  </si>
  <si>
    <t>156723.SH</t>
  </si>
  <si>
    <t>平安十B</t>
  </si>
  <si>
    <t>156724.SH</t>
  </si>
  <si>
    <t>平安十C</t>
  </si>
  <si>
    <t>156725.SH</t>
  </si>
  <si>
    <t>平安十次</t>
  </si>
  <si>
    <t>081900048.IB</t>
  </si>
  <si>
    <t>20190123</t>
  </si>
  <si>
    <t>19平安小微ABN001优先A</t>
  </si>
  <si>
    <t>081900049.IB</t>
  </si>
  <si>
    <t>19平安小微ABN001优先B</t>
  </si>
  <si>
    <t>081900050.IB</t>
  </si>
  <si>
    <t>19平安小微ABN001优先C</t>
  </si>
  <si>
    <t>081900051.IB</t>
  </si>
  <si>
    <t>19平安小微ABN001次</t>
  </si>
  <si>
    <t>155964.SH</t>
  </si>
  <si>
    <t>20190118</t>
  </si>
  <si>
    <t>19安租Y1</t>
  </si>
  <si>
    <t>011900182.IB</t>
  </si>
  <si>
    <t>20190116</t>
  </si>
  <si>
    <t>19平安租赁SCP002</t>
  </si>
  <si>
    <t>041900008.IB</t>
  </si>
  <si>
    <t>20190108</t>
  </si>
  <si>
    <t>19平安租赁CP001</t>
  </si>
  <si>
    <t>011900030.IB</t>
  </si>
  <si>
    <t>20190104</t>
  </si>
  <si>
    <t>19平安租赁SCP001</t>
  </si>
  <si>
    <t>101801509.IB</t>
  </si>
  <si>
    <t>20181224</t>
  </si>
  <si>
    <t>18平安租赁MTN002</t>
  </si>
  <si>
    <t>081800240.IB</t>
  </si>
  <si>
    <t>20181217</t>
  </si>
  <si>
    <t>18平安小微ABN001优先A</t>
  </si>
  <si>
    <t>081800241.IB</t>
  </si>
  <si>
    <t>18平安小微ABN001优先B</t>
  </si>
  <si>
    <t>081800242.IB</t>
  </si>
  <si>
    <t>18平安小微ABN001优先C</t>
  </si>
  <si>
    <t>081800243.IB</t>
  </si>
  <si>
    <t>18平安小微ABN001次级</t>
  </si>
  <si>
    <t>011802472.IB</t>
  </si>
  <si>
    <t>20181212</t>
  </si>
  <si>
    <t>18平安租赁SCP020</t>
  </si>
  <si>
    <t>041800444.IB</t>
  </si>
  <si>
    <t>20181210</t>
  </si>
  <si>
    <t>18平安租赁CP003</t>
  </si>
  <si>
    <t>101801449.IB</t>
  </si>
  <si>
    <t>20181205</t>
  </si>
  <si>
    <t>18平安租赁MTN001</t>
  </si>
  <si>
    <t>156351.SH</t>
  </si>
  <si>
    <t>PR八A1</t>
  </si>
  <si>
    <t>156352.SH</t>
  </si>
  <si>
    <t>平租八A2</t>
  </si>
  <si>
    <t>156353.SH</t>
  </si>
  <si>
    <t>平租八A3</t>
  </si>
  <si>
    <t>156354.SH</t>
  </si>
  <si>
    <t>平租八B</t>
  </si>
  <si>
    <t>156355.SH</t>
  </si>
  <si>
    <t>平租八C</t>
  </si>
  <si>
    <t>156356.SH</t>
  </si>
  <si>
    <t>平租八次</t>
  </si>
  <si>
    <t>011802372.IB</t>
  </si>
  <si>
    <t>20181203</t>
  </si>
  <si>
    <t>18平安租赁SCP019</t>
  </si>
  <si>
    <t>031800704.IB</t>
  </si>
  <si>
    <t>20181127</t>
  </si>
  <si>
    <t>18平安租赁PPN009</t>
  </si>
  <si>
    <t>150811.SH</t>
  </si>
  <si>
    <t>20181122</t>
  </si>
  <si>
    <t>18安租08</t>
  </si>
  <si>
    <t>031800599.IB</t>
  </si>
  <si>
    <t>20181108</t>
  </si>
  <si>
    <t>18平安租赁PPN008</t>
  </si>
  <si>
    <t>150768.SH</t>
  </si>
  <si>
    <t>20181012</t>
  </si>
  <si>
    <t>18安租07</t>
  </si>
  <si>
    <t>011801902.IB</t>
  </si>
  <si>
    <t>20181009</t>
  </si>
  <si>
    <t>18平安租赁SCP018</t>
  </si>
  <si>
    <t>011801892.IB</t>
  </si>
  <si>
    <t>20181008</t>
  </si>
  <si>
    <t>18平安租赁SCP017</t>
  </si>
  <si>
    <t>139159.SZ</t>
  </si>
  <si>
    <t>20180927</t>
  </si>
  <si>
    <t>18平安5A</t>
  </si>
  <si>
    <t>139160.SZ</t>
  </si>
  <si>
    <t>18平安5B</t>
  </si>
  <si>
    <t>139161.SZ</t>
  </si>
  <si>
    <t>18平安5C</t>
  </si>
  <si>
    <t>139162.SZ</t>
  </si>
  <si>
    <t>18平安5D</t>
  </si>
  <si>
    <t>139163.SZ</t>
  </si>
  <si>
    <t>18平安5E</t>
  </si>
  <si>
    <t>011801866.IB</t>
  </si>
  <si>
    <t>20180925</t>
  </si>
  <si>
    <t>18平安租赁SCP016</t>
  </si>
  <si>
    <t>011801826.IB</t>
  </si>
  <si>
    <t>20180919</t>
  </si>
  <si>
    <t>18平安租赁SCP015</t>
  </si>
  <si>
    <t>150509.SH</t>
  </si>
  <si>
    <t>20180912</t>
  </si>
  <si>
    <t>18安租06</t>
  </si>
  <si>
    <t>011801768.IB</t>
  </si>
  <si>
    <t>20180907</t>
  </si>
  <si>
    <t>18平安租赁SCP014</t>
  </si>
  <si>
    <t>011801757.IB</t>
  </si>
  <si>
    <t>20180903</t>
  </si>
  <si>
    <t>18平安租赁SCP013</t>
  </si>
  <si>
    <t>011801730.IB</t>
  </si>
  <si>
    <t>20180830</t>
  </si>
  <si>
    <t>18平安租赁SCP012</t>
  </si>
  <si>
    <t>150659.SH</t>
  </si>
  <si>
    <t>20180829</t>
  </si>
  <si>
    <t>G18安租1</t>
  </si>
  <si>
    <t>149847.SH</t>
  </si>
  <si>
    <t>20180828</t>
  </si>
  <si>
    <t>PR平租4A</t>
  </si>
  <si>
    <t>149848.SH</t>
  </si>
  <si>
    <t>18平租4B</t>
  </si>
  <si>
    <t>149849.SH</t>
  </si>
  <si>
    <t>18平租4C</t>
  </si>
  <si>
    <t>149850.SH</t>
  </si>
  <si>
    <t>18次4</t>
  </si>
  <si>
    <t>011801635.IB</t>
  </si>
  <si>
    <t>20180822</t>
  </si>
  <si>
    <t>18平安租赁SCP011</t>
  </si>
  <si>
    <t>031800506.IB</t>
  </si>
  <si>
    <t>20180821</t>
  </si>
  <si>
    <t>18平安租赁PPN007</t>
  </si>
  <si>
    <t>031800456.IB</t>
  </si>
  <si>
    <t>20180810</t>
  </si>
  <si>
    <t>18平安租赁PPN006</t>
  </si>
  <si>
    <t>011801460.IB</t>
  </si>
  <si>
    <t>20180802</t>
  </si>
  <si>
    <t>18平安租赁SCP010</t>
  </si>
  <si>
    <t>031800431.IB</t>
  </si>
  <si>
    <t>20180727</t>
  </si>
  <si>
    <t>18平安租赁PPN005</t>
  </si>
  <si>
    <t>150546.SH</t>
  </si>
  <si>
    <t>20180712</t>
  </si>
  <si>
    <t>18安租05</t>
  </si>
  <si>
    <t>011801245.IB</t>
  </si>
  <si>
    <t>20180705</t>
  </si>
  <si>
    <t>18平安租赁SCP009</t>
  </si>
  <si>
    <t>149729.SH</t>
  </si>
  <si>
    <t>20180626</t>
  </si>
  <si>
    <t>PR平租18</t>
  </si>
  <si>
    <t>149730.SH</t>
  </si>
  <si>
    <t>平租18次</t>
  </si>
  <si>
    <t>031800373.IB</t>
  </si>
  <si>
    <t>18平安租赁PPN004</t>
  </si>
  <si>
    <t>011801130.IB</t>
  </si>
  <si>
    <t>20180614</t>
  </si>
  <si>
    <t>18平安租赁SCP008</t>
  </si>
  <si>
    <t>031800254.IB</t>
  </si>
  <si>
    <t>20180613</t>
  </si>
  <si>
    <t>18平安租赁PPN003</t>
  </si>
  <si>
    <t>150467.SH</t>
  </si>
  <si>
    <t>20180611</t>
  </si>
  <si>
    <t>18安租04</t>
  </si>
  <si>
    <t>149640.SH</t>
  </si>
  <si>
    <t>20180608</t>
  </si>
  <si>
    <t>PR平租3A</t>
  </si>
  <si>
    <t>149641.SH</t>
  </si>
  <si>
    <t>18平租3B</t>
  </si>
  <si>
    <t>149642.SH</t>
  </si>
  <si>
    <t>18平租3C</t>
  </si>
  <si>
    <t>149643.SH</t>
  </si>
  <si>
    <t>18平租次</t>
  </si>
  <si>
    <t>011800968.IB</t>
  </si>
  <si>
    <t>20180521</t>
  </si>
  <si>
    <t>18平安租赁SCP007</t>
  </si>
  <si>
    <t>150395.SH</t>
  </si>
  <si>
    <t>20180511</t>
  </si>
  <si>
    <t>18安租03</t>
  </si>
  <si>
    <t>041800182.IB</t>
  </si>
  <si>
    <t>20180425</t>
  </si>
  <si>
    <t>18平安租赁CP002</t>
  </si>
  <si>
    <t>041800153.IB</t>
  </si>
  <si>
    <t>20180418</t>
  </si>
  <si>
    <t>18平安租赁CP001</t>
  </si>
  <si>
    <t>011800707.IB</t>
  </si>
  <si>
    <t>20180416</t>
  </si>
  <si>
    <t>18平安租赁SCP006</t>
  </si>
  <si>
    <t>SZ4813.IOC</t>
  </si>
  <si>
    <t>20180413</t>
  </si>
  <si>
    <t>平安二A</t>
  </si>
  <si>
    <t>SZ4814.IOC</t>
  </si>
  <si>
    <t>平安二B</t>
  </si>
  <si>
    <t>SZ4961.IOC</t>
  </si>
  <si>
    <t>平安二C</t>
  </si>
  <si>
    <t>SZ4964.IOC</t>
  </si>
  <si>
    <t>平安二次</t>
  </si>
  <si>
    <t>150293.SH</t>
  </si>
  <si>
    <t>20180411</t>
  </si>
  <si>
    <t>18安租01</t>
  </si>
  <si>
    <t>011800659.IB</t>
  </si>
  <si>
    <t>20180410</t>
  </si>
  <si>
    <t>18平安租赁SCP005</t>
  </si>
  <si>
    <t>011800494.IB</t>
  </si>
  <si>
    <t>20180319</t>
  </si>
  <si>
    <t>18平安租赁SCP004</t>
  </si>
  <si>
    <t>031800019.IB</t>
  </si>
  <si>
    <t>18平安租赁PPN001</t>
  </si>
  <si>
    <t>011800393.IB</t>
  </si>
  <si>
    <t>20180312</t>
  </si>
  <si>
    <t>18平安租赁SCP003</t>
  </si>
  <si>
    <t>011800369.IB</t>
  </si>
  <si>
    <t>20180308</t>
  </si>
  <si>
    <t>18平安租赁SCP002</t>
  </si>
  <si>
    <t>031800112.IB</t>
  </si>
  <si>
    <t>20180227</t>
  </si>
  <si>
    <t>18平安租赁PPN002</t>
  </si>
  <si>
    <t>011800199.IB</t>
  </si>
  <si>
    <t>20180202</t>
  </si>
  <si>
    <t>18平安租赁SCP001</t>
  </si>
  <si>
    <t>081800008.IB</t>
  </si>
  <si>
    <t>20180122</t>
  </si>
  <si>
    <t>18平安租赁ABN001优先A1</t>
  </si>
  <si>
    <t>081800009.IB</t>
  </si>
  <si>
    <t>18平安租赁ABN001优先A2</t>
  </si>
  <si>
    <t>081800010.IB</t>
  </si>
  <si>
    <t>18平安租赁ABN001优先B</t>
  </si>
  <si>
    <t>081800011.IB</t>
  </si>
  <si>
    <t>18平安租赁ABN001次</t>
  </si>
  <si>
    <t>149148.SH</t>
  </si>
  <si>
    <t>20180116</t>
  </si>
  <si>
    <t>PR五A</t>
  </si>
  <si>
    <t>149149.SH</t>
  </si>
  <si>
    <t>平安五B</t>
  </si>
  <si>
    <t>149150.SH</t>
  </si>
  <si>
    <t>平安五次</t>
  </si>
  <si>
    <t>116792.SZ</t>
  </si>
  <si>
    <t>20171226</t>
  </si>
  <si>
    <t>17平租A1</t>
  </si>
  <si>
    <t>116793.SZ</t>
  </si>
  <si>
    <t>17平租A2</t>
  </si>
  <si>
    <t>116794.SZ</t>
  </si>
  <si>
    <t>17平租A3</t>
  </si>
  <si>
    <t>116795.SZ</t>
  </si>
  <si>
    <t>17平租A4</t>
  </si>
  <si>
    <t>116796.SZ</t>
  </si>
  <si>
    <t>17平租B</t>
  </si>
  <si>
    <t>116797.SZ</t>
  </si>
  <si>
    <t>17平租次</t>
  </si>
  <si>
    <t>011755076.IB</t>
  </si>
  <si>
    <t>20171213</t>
  </si>
  <si>
    <t>17平安租赁SCP013</t>
  </si>
  <si>
    <t>031751010.IB</t>
  </si>
  <si>
    <t>20171212</t>
  </si>
  <si>
    <t>17平安租赁PPN003</t>
  </si>
  <si>
    <t>011760190.IB</t>
  </si>
  <si>
    <t>20171206</t>
  </si>
  <si>
    <t>17平安租赁SCP012</t>
  </si>
  <si>
    <t>116743.SZ</t>
  </si>
  <si>
    <t>20171128</t>
  </si>
  <si>
    <t>17平安3A</t>
  </si>
  <si>
    <t>116744.SZ</t>
  </si>
  <si>
    <t>17平安3B</t>
  </si>
  <si>
    <t>116745.SZ</t>
  </si>
  <si>
    <t>17平安次</t>
  </si>
  <si>
    <t>031769007.IB</t>
  </si>
  <si>
    <t>20171117</t>
  </si>
  <si>
    <t>17平安租赁PPN002</t>
  </si>
  <si>
    <t>146659.SH</t>
  </si>
  <si>
    <t>20171025</t>
  </si>
  <si>
    <t>PR平安2A</t>
  </si>
  <si>
    <t>146660.SH</t>
  </si>
  <si>
    <t>17平安2B</t>
  </si>
  <si>
    <t>146661.SH</t>
  </si>
  <si>
    <t>17平安2C</t>
  </si>
  <si>
    <t>143928.SH</t>
  </si>
  <si>
    <t>20171024</t>
  </si>
  <si>
    <t>17平租Y1</t>
  </si>
  <si>
    <t>031753019.IB</t>
  </si>
  <si>
    <t>20171018</t>
  </si>
  <si>
    <t>17平安租赁PPN001</t>
  </si>
  <si>
    <t>011753062.IB</t>
  </si>
  <si>
    <t>20170915</t>
  </si>
  <si>
    <t>17平安租赁SCP011</t>
  </si>
  <si>
    <t>011760139.IB</t>
  </si>
  <si>
    <t>20170911</t>
  </si>
  <si>
    <t>17平安租赁SCP010</t>
  </si>
  <si>
    <t>145793.SH</t>
  </si>
  <si>
    <t>17平租06</t>
  </si>
  <si>
    <t>143282.SH</t>
  </si>
  <si>
    <t>20170906</t>
  </si>
  <si>
    <t>17平租05</t>
  </si>
  <si>
    <t>011754141.IB</t>
  </si>
  <si>
    <t>20170905</t>
  </si>
  <si>
    <t>17平安租赁SCP009</t>
  </si>
  <si>
    <t>143263.SH</t>
  </si>
  <si>
    <t>20170821</t>
  </si>
  <si>
    <t>17平租04</t>
  </si>
  <si>
    <t>145716.SH</t>
  </si>
  <si>
    <t>20170817</t>
  </si>
  <si>
    <t>17平租03</t>
  </si>
  <si>
    <t>011755047.IB</t>
  </si>
  <si>
    <t>20170810</t>
  </si>
  <si>
    <t>17平安租赁SCP008</t>
  </si>
  <si>
    <t>143204.SH</t>
  </si>
  <si>
    <t>20170726</t>
  </si>
  <si>
    <t>17平租02</t>
  </si>
  <si>
    <t>145643.SH</t>
  </si>
  <si>
    <t>20170718</t>
  </si>
  <si>
    <t>17平租01</t>
  </si>
  <si>
    <t>011760099.IB</t>
  </si>
  <si>
    <t>17平安租赁SCP007</t>
  </si>
  <si>
    <t>011756035.IB</t>
  </si>
  <si>
    <t>20170711</t>
  </si>
  <si>
    <t>17平安租赁SCP006</t>
  </si>
  <si>
    <t>011753040.IB</t>
  </si>
  <si>
    <t>20170614</t>
  </si>
  <si>
    <t>17平安租赁SCP005</t>
  </si>
  <si>
    <t>041760034.IB</t>
  </si>
  <si>
    <t>20170612</t>
  </si>
  <si>
    <t>17平安租赁CP002</t>
  </si>
  <si>
    <t>041760031.IB</t>
  </si>
  <si>
    <t>20170601</t>
  </si>
  <si>
    <t>17平安租赁CP001</t>
  </si>
  <si>
    <t>011771019.IB</t>
  </si>
  <si>
    <t>20170515</t>
  </si>
  <si>
    <t>17平安租赁SCP004</t>
  </si>
  <si>
    <t>101754023.IB</t>
  </si>
  <si>
    <t>20170323</t>
  </si>
  <si>
    <t>17平安租赁MTN001</t>
  </si>
  <si>
    <t>011757001.IB</t>
  </si>
  <si>
    <t>20170315</t>
  </si>
  <si>
    <t>17平安租赁SCP003</t>
  </si>
  <si>
    <t>081760005.IB</t>
  </si>
  <si>
    <t>20170314</t>
  </si>
  <si>
    <t>17平安租赁ABN001A</t>
  </si>
  <si>
    <t>081760006.IB</t>
  </si>
  <si>
    <t>17平安租赁ABN001B</t>
  </si>
  <si>
    <t>081760007.IB</t>
  </si>
  <si>
    <t>17平安租赁ABN001次</t>
  </si>
  <si>
    <t>SU2727.IOC</t>
  </si>
  <si>
    <t>20170308</t>
  </si>
  <si>
    <t>平租2优A</t>
  </si>
  <si>
    <t>SU2728.IOC</t>
  </si>
  <si>
    <t>平租2优B</t>
  </si>
  <si>
    <t>SU2729.IOC</t>
  </si>
  <si>
    <t>平租2次</t>
  </si>
  <si>
    <t>011762013.IB</t>
  </si>
  <si>
    <t>20170307</t>
  </si>
  <si>
    <t>17平安租赁SCP002</t>
  </si>
  <si>
    <t>011756004.IB</t>
  </si>
  <si>
    <t>20170117</t>
  </si>
  <si>
    <t>17平安租赁SCP001</t>
  </si>
  <si>
    <t>142493.SH</t>
  </si>
  <si>
    <t>20161216</t>
  </si>
  <si>
    <t>PR平安4A</t>
  </si>
  <si>
    <t>142494.SH</t>
  </si>
  <si>
    <t>16平安4B</t>
  </si>
  <si>
    <t>142495.SH</t>
  </si>
  <si>
    <t>16平安4C</t>
  </si>
  <si>
    <t>142496.SH</t>
  </si>
  <si>
    <t>16平安次</t>
  </si>
  <si>
    <t>031658031.IB</t>
  </si>
  <si>
    <t>20161213</t>
  </si>
  <si>
    <t>16平安租赁PPN004</t>
  </si>
  <si>
    <t>011697015.IB</t>
  </si>
  <si>
    <t>16平安租赁SCP001</t>
  </si>
  <si>
    <t>101656058.IB</t>
  </si>
  <si>
    <t>20161121</t>
  </si>
  <si>
    <t>16平安租赁MTN005</t>
  </si>
  <si>
    <t>142435.SH</t>
  </si>
  <si>
    <t>20161118</t>
  </si>
  <si>
    <t>PR平安3A</t>
  </si>
  <si>
    <t>142436.SH</t>
  </si>
  <si>
    <t>PR平安3B</t>
  </si>
  <si>
    <t>zc16121501.SH</t>
  </si>
  <si>
    <t>16平安3C</t>
  </si>
  <si>
    <t>116466.SZ</t>
  </si>
  <si>
    <t>20161117</t>
  </si>
  <si>
    <t>16平安B</t>
  </si>
  <si>
    <t>116467.SZ</t>
  </si>
  <si>
    <t>116465.SZ</t>
  </si>
  <si>
    <t>16平安A</t>
  </si>
  <si>
    <t>031660069.IB</t>
  </si>
  <si>
    <t>20161110</t>
  </si>
  <si>
    <t>16平安租赁PPN003</t>
  </si>
  <si>
    <t>031660060.IB</t>
  </si>
  <si>
    <t>20161104</t>
  </si>
  <si>
    <t>16平安租赁PPN002</t>
  </si>
  <si>
    <t>031662037.IB</t>
  </si>
  <si>
    <t>20161011</t>
  </si>
  <si>
    <t>16平安租赁PPN001</t>
  </si>
  <si>
    <t>131924.SH</t>
  </si>
  <si>
    <t>20160727</t>
  </si>
  <si>
    <t>PR贰A</t>
  </si>
  <si>
    <t>131925.SH</t>
  </si>
  <si>
    <t>PR贰B</t>
  </si>
  <si>
    <t>131926.SH</t>
  </si>
  <si>
    <t>平安贰次</t>
  </si>
  <si>
    <t>zc16062305.SH</t>
  </si>
  <si>
    <t>20160620</t>
  </si>
  <si>
    <t>16平安1C</t>
  </si>
  <si>
    <t>131837.SH</t>
  </si>
  <si>
    <t>PR平安1B</t>
  </si>
  <si>
    <t>131836.SH</t>
  </si>
  <si>
    <t>PR平安1A</t>
  </si>
  <si>
    <t>041660040.IB</t>
  </si>
  <si>
    <t>20160606</t>
  </si>
  <si>
    <t>16平安租赁CP003</t>
  </si>
  <si>
    <t>041660039.IB</t>
  </si>
  <si>
    <t>20160523</t>
  </si>
  <si>
    <t>16平安租赁CP002</t>
  </si>
  <si>
    <t>041660030.IB</t>
  </si>
  <si>
    <t>20160414</t>
  </si>
  <si>
    <t>16平安租赁CP001</t>
  </si>
  <si>
    <t>101653015.IB</t>
  </si>
  <si>
    <t>20160407</t>
  </si>
  <si>
    <t>16平安租赁MTN004</t>
  </si>
  <si>
    <t>101653009.IB</t>
  </si>
  <si>
    <t>20160217</t>
  </si>
  <si>
    <t>16平安租赁MTN003</t>
  </si>
  <si>
    <t>101651002.IB</t>
  </si>
  <si>
    <t>20160120</t>
  </si>
  <si>
    <t>16平安租赁MTN002</t>
  </si>
  <si>
    <t>101654002.IB</t>
  </si>
  <si>
    <t>20160113</t>
  </si>
  <si>
    <t>16平安租赁MTN001</t>
  </si>
  <si>
    <t>131331.SH</t>
  </si>
  <si>
    <t>20151222</t>
  </si>
  <si>
    <t>PR平安A</t>
  </si>
  <si>
    <t>131332.SH</t>
  </si>
  <si>
    <t>PR平安B</t>
  </si>
  <si>
    <t>131333.SH</t>
  </si>
  <si>
    <t>PR平安C</t>
  </si>
  <si>
    <t>zc16010414.SH</t>
  </si>
  <si>
    <t>平安次级</t>
  </si>
  <si>
    <t>131084.SH</t>
  </si>
  <si>
    <t>20151119</t>
  </si>
  <si>
    <t>131085.SH</t>
  </si>
  <si>
    <t>zc15112303.SH</t>
  </si>
  <si>
    <t>15平安C</t>
  </si>
  <si>
    <t>031553043.IB</t>
  </si>
  <si>
    <t>20151014</t>
  </si>
  <si>
    <t>15平安租赁PPN004</t>
  </si>
  <si>
    <t>031553042.IB</t>
  </si>
  <si>
    <t>20150914</t>
  </si>
  <si>
    <t>15平安租赁PPN003</t>
  </si>
  <si>
    <t>031553033.IB</t>
  </si>
  <si>
    <t>20150810</t>
  </si>
  <si>
    <t>15平安租赁PPN002</t>
  </si>
  <si>
    <t>031553019.IB</t>
  </si>
  <si>
    <t>20150428</t>
  </si>
  <si>
    <t>15平安租赁PPN001</t>
  </si>
  <si>
    <t>zc16121603.IB</t>
  </si>
  <si>
    <t>16平安租赁ABN001次</t>
  </si>
  <si>
    <t>zc16121601.IB</t>
  </si>
  <si>
    <t>16平安租赁ABN001A</t>
  </si>
  <si>
    <t>zc16121602.IB</t>
  </si>
  <si>
    <t>16平安租赁ABN001B</t>
  </si>
  <si>
    <t>150294.SH</t>
  </si>
  <si>
    <t>18安租02</t>
  </si>
  <si>
    <t>历史主体评级</t>
  </si>
  <si>
    <t>发布日期</t>
  </si>
  <si>
    <t>主体资信级别</t>
  </si>
  <si>
    <t>评级展望</t>
  </si>
  <si>
    <t>评级机构</t>
  </si>
  <si>
    <t>20190408</t>
  </si>
  <si>
    <t>稳定</t>
  </si>
  <si>
    <t>中诚信证券评估有限公司</t>
  </si>
  <si>
    <t>20181219</t>
  </si>
  <si>
    <t>中诚信国际信用评级有限责任公司</t>
  </si>
  <si>
    <t>20181102</t>
  </si>
  <si>
    <t>20180928</t>
  </si>
  <si>
    <t>20180904</t>
  </si>
  <si>
    <t>20180725</t>
  </si>
  <si>
    <t>20180627</t>
  </si>
  <si>
    <t>20180530</t>
  </si>
  <si>
    <t>20180518</t>
  </si>
  <si>
    <t>20180502</t>
  </si>
  <si>
    <t>20180226</t>
  </si>
  <si>
    <t>20171218</t>
  </si>
  <si>
    <t>20170921</t>
  </si>
  <si>
    <t>20170825</t>
  </si>
  <si>
    <t>20170807</t>
  </si>
  <si>
    <t>20170725</t>
  </si>
  <si>
    <t>20170719</t>
  </si>
  <si>
    <t>20170707</t>
  </si>
  <si>
    <t>20170607</t>
  </si>
  <si>
    <t>20170518</t>
  </si>
  <si>
    <t>20161229</t>
  </si>
  <si>
    <t>20160721</t>
  </si>
  <si>
    <t>20160224</t>
  </si>
  <si>
    <t>20151015</t>
  </si>
  <si>
    <t>20150928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</si>
  <si>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</si>
  <si>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</si>
  <si>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</si>
  <si>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</si>
  <si>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</si>
  <si>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</si>
  <si>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</si>
  <si>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</si>
  <si>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</si>
  <si>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</si>
  <si>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</si>
  <si>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</si>
  <si>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</si>
  <si>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</si>
  <si>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</si>
  <si>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</si>
  <si>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</si>
  <si>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</si>
  <si>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</si>
  <si>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</si>
  <si>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</si>
  <si>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</si>
  <si>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</si>
  <si>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</si>
  <si>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</si>
  <si>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</si>
  <si>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</si>
  <si>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</si>
  <si>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</si>
  <si>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</si>
  <si>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</si>
  <si>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</si>
  <si>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</si>
  <si>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</si>
  <si>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</si>
  <si>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</si>
  <si>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</si>
  <si>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</si>
  <si>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平安国际融资租赁有限公司</t>
  </si>
  <si>
    <t>公众企业</t>
  </si>
  <si>
    <t>金融--多元金融--多元金融服务--特殊金融服务</t>
  </si>
  <si>
    <t>中国(上海)自由贸易试验区世纪大道8号上海国金中心办公楼二期37层</t>
  </si>
  <si>
    <t>公司是平安集团下属专门从事融资租赁业务的全资子公司，是集团银行板块内的重要成员。公司总部设立在上海浦东新区陆家嘴金融中心，业务网络遍及全国各地，自成立以来，业务发展迅速，截至2014年5月份，平安租赁总资产已突破240亿。公司的业务方向以中小企业和事业单位为主，涉及行业主要包括健康卫生、制造加工、工程建设、政府融资、教育文化、机构融资等，并将持续探索新的行业方向和业务领域，持续创造贴合客户需求的多样化金融产品。公司主要业务模式包括设备租赁、售后回租赁、转租赁、杠杆租赁、委托租赁、项目租赁、经营租赁等。</t>
  </si>
  <si>
    <t>中国平安保险(集团)股份有限公司</t>
  </si>
  <si>
    <t>中国平安保险海外(控股)有限公司</t>
  </si>
  <si>
    <t/>
  </si>
  <si>
    <t>AA+</t>
  </si>
  <si>
    <t>AA</t>
  </si>
  <si>
    <t>A-1</t>
  </si>
  <si>
    <t>AA-</t>
  </si>
  <si>
    <t>渤海租赁股份有限公司</t>
  </si>
  <si>
    <t>海通恒信国际租赁股份有限公司</t>
  </si>
  <si>
    <t>中航国际租赁有限公司</t>
  </si>
  <si>
    <t>华融金融租赁股份有限公司</t>
  </si>
  <si>
    <t>上汽通用汽车金融有限责任公司</t>
  </si>
  <si>
    <t>海尔集团财务有限责任公司</t>
  </si>
  <si>
    <t>远东国际租赁有限公司</t>
  </si>
  <si>
    <t>其他企业</t>
  </si>
  <si>
    <t>中央国有企业</t>
  </si>
  <si>
    <t>中外合资企业</t>
  </si>
  <si>
    <t>民营企业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</si>
</sst>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平安国际融资租赁有限公司</v>
      </c>
      <c r="C4" s="115"/>
      <c r="D4" s="57" t="s">
        <v>3</v>
      </c>
      <c r="E4" s="114" t="str">
        <f>[1]!s_info_nature(A2)</f>
        <v>公众企业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金融--多元金融--多元金融服务--特殊金融服务</v>
      </c>
      <c r="C5" s="115"/>
      <c r="D5" s="57" t="s">
        <v>5</v>
      </c>
      <c r="E5" s="114" t="str">
        <f>[1]!b_issuer_regaddress(A2)</f>
        <v>中国(上海)自由贸易试验区世纪大道8号上海国金中心办公楼二期37层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是平安集团下属专门从事融资租赁业务的全资子公司，是集团银行板块内的重要成员。公司总部设立在上海浦东新区陆家嘴金融中心，业务网络遍及全国各地，自成立以来，业务发展迅速，截至2014年5月份，平安租赁总资产已突破240亿。公司的业务方向以中小企业和事业单位为主，涉及行业主要包括健康卫生、制造加工、工程建设、政府融资、教育文化、机构融资等，并将持续探索新的行业方向和业务领域，持续创造贴合客户需求的多样化金融产品。公司主要业务模式包括设备租赁、售后回租赁、转租赁、杠杆租赁、委托租赁、项目租赁、经营租赁等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中国平安保险(集团)股份有限公司</v>
      </c>
      <c r="C7" s="115"/>
      <c r="D7" s="115"/>
      <c r="E7" s="115"/>
      <c r="F7" s="60">
        <f>[1]!b_issuer_propofshareholder($A$2,"",1)%</f>
        <v>0.67930000305175786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中国平安保险海外(控股)有限公司</v>
      </c>
      <c r="C8" s="115"/>
      <c r="D8" s="115"/>
      <c r="E8" s="115"/>
      <c r="F8" s="60">
        <f>[1]!b_issuer_propofshareholder($A$2,"",2)%</f>
        <v>0.32069999694824219</v>
      </c>
      <c r="G8" s="59"/>
      <c r="H8" s="20"/>
      <c r="M8" s="25"/>
      <c r="O8" s="25"/>
      <c r="P8" s="62"/>
    </row>
    <row r="9" spans="1:20" s="17" customFormat="1" x14ac:dyDescent="0.25">
      <c r="A9" s="58"/>
      <c r="B9" s="117">
        <f>[1]!b_issuer_shareholder(A2,"",3)</f>
        <v>0</v>
      </c>
      <c r="C9" s="115"/>
      <c r="D9" s="115"/>
      <c r="E9" s="115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7">
        <f>[1]!b_issuer_shareholder(A2,"",4)</f>
        <v>0</v>
      </c>
      <c r="C10" s="115"/>
      <c r="D10" s="115"/>
      <c r="E10" s="115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>
        <f>[1]!b_issuer_shareholder(A2,"",5)</f>
        <v>0</v>
      </c>
      <c r="C11" s="115"/>
      <c r="D11" s="115"/>
      <c r="E11" s="115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d19041715.IB</v>
      </c>
      <c r="K14" s="26"/>
      <c r="L14" s="27" t="str">
        <f>T15</f>
        <v>112188.SZ</v>
      </c>
      <c r="M14" s="27" t="str">
        <f>T16</f>
        <v>101453032.IB</v>
      </c>
      <c r="N14" s="27" t="str">
        <f>T17</f>
        <v>041564041.IB</v>
      </c>
      <c r="O14" s="27" t="str">
        <f>T18</f>
        <v>1022002.IB</v>
      </c>
      <c r="P14" s="27" t="str">
        <f>T19</f>
        <v>1422003.IB</v>
      </c>
      <c r="Q14" s="27" t="str">
        <f>T20</f>
        <v>1322006.IB</v>
      </c>
      <c r="R14" s="5" t="str">
        <f>T21</f>
        <v>101456061.IB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平安国际融资租赁有限公司</v>
      </c>
      <c r="K15" s="133"/>
      <c r="L15" s="8" t="str">
        <f>[1]!b_info_issuer(L14)</f>
        <v>渤海租赁股份有限公司</v>
      </c>
      <c r="M15" s="8" t="str">
        <f>[1]!b_info_issuer(M14)</f>
        <v>海通恒信国际租赁股份有限公司</v>
      </c>
      <c r="N15" s="8" t="str">
        <f>[1]!b_info_issuer(N14)</f>
        <v>中航国际租赁有限公司</v>
      </c>
      <c r="O15" s="8" t="str">
        <f>[1]!b_info_issuer(O14)</f>
        <v>华融金融租赁股份有限公司</v>
      </c>
      <c r="P15" s="8" t="str">
        <f>[1]!b_info_issuer(P14)</f>
        <v>上汽通用汽车金融有限责任公司</v>
      </c>
      <c r="Q15" s="8" t="str">
        <f>[1]!b_info_issuer(Q14)</f>
        <v>海尔集团财务有限责任公司</v>
      </c>
      <c r="R15" s="8" t="str">
        <f>[1]!b_info_issuer(R14)</f>
        <v>远东国际租赁有限公司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19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公众企业</v>
      </c>
      <c r="K17" s="119"/>
      <c r="L17" s="66" t="str">
        <f>[1]!s_info_nature(L14)</f>
        <v>其他企业</v>
      </c>
      <c r="M17" s="66" t="str">
        <f>[1]!s_info_nature(M14)</f>
        <v>公众企业</v>
      </c>
      <c r="N17" s="66" t="str">
        <f>[1]!s_info_nature(N14)</f>
        <v>中央国有企业</v>
      </c>
      <c r="O17" s="66" t="str">
        <f>[1]!s_info_nature(O14)</f>
        <v>中央国有企业</v>
      </c>
      <c r="P17" s="66" t="str">
        <f>[1]!s_info_nature(P14)</f>
        <v>中外合资企业</v>
      </c>
      <c r="Q17" s="66" t="str">
        <f>[1]!s_info_nature(Q14)</f>
        <v>民营企业</v>
      </c>
      <c r="R17" s="66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19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1771.1122861900001</v>
      </c>
      <c r="K19" s="119"/>
      <c r="L19" s="67">
        <f>[1]!b_stm07_bs(L14,74,L13,1)/100000000</f>
        <v>3003.9436300000002</v>
      </c>
      <c r="M19" s="67">
        <f>[1]!b_stm07_bs(M14,74,M13,1)/100000000</f>
        <v>606.88801950970003</v>
      </c>
      <c r="N19" s="67">
        <f>[1]!b_stm07_bs(N14,74,N13,1)/100000000</f>
        <v>882.03758400829997</v>
      </c>
      <c r="O19" s="67">
        <f>[1]!b_stm07_bs(O14,74,O13,1)/100000000</f>
        <v>1320.1483845404</v>
      </c>
      <c r="P19" s="67">
        <f>[1]!b_stm07_bs(P14,74,P13,1)/100000000</f>
        <v>1064.4508927019001</v>
      </c>
      <c r="Q19" s="67">
        <f>[1]!b_stm07_bs(Q14,74,Q13,1)/100000000</f>
        <v>763.51934877740007</v>
      </c>
      <c r="R19" s="67">
        <f>[1]!b_stm07_bs(R14,74,R13,1)/100000000</f>
        <v>2198.0604139648999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0.87294099999999997</v>
      </c>
      <c r="K20" s="119"/>
      <c r="L20" s="10">
        <f>[1]!s_fa_debttoassets(L14,L13)/100</f>
        <v>0.88210899999999992</v>
      </c>
      <c r="M20" s="10">
        <f>[1]!s_fa_debttoassets(M14,M13)/100</f>
        <v>0.80438900000000002</v>
      </c>
      <c r="N20" s="10">
        <f>[1]!s_fa_debttoassets(N14,N13)/100</f>
        <v>0.88364199999999993</v>
      </c>
      <c r="O20" s="10">
        <f>[1]!s_fa_debttoassets(O14,O13)/100</f>
        <v>0.89213600000000004</v>
      </c>
      <c r="P20" s="10">
        <f>[1]!s_fa_debttoassets(P14,P13)/100</f>
        <v>0.87721300000000002</v>
      </c>
      <c r="Q20" s="10">
        <f>[1]!s_fa_debttoassets(Q14,Q13)/100</f>
        <v>0.85396899999999998</v>
      </c>
      <c r="R20" s="10">
        <f>[1]!s_fa_debttoassets(R14,R13)/100</f>
        <v>0.8408199999999999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1.177</v>
      </c>
      <c r="K21" s="119"/>
      <c r="L21" s="67">
        <f>[1]!s_fa_current(L14,L13)</f>
        <v>0.74360000000000004</v>
      </c>
      <c r="M21" s="67">
        <f>[1]!s_fa_current(M14,M13)</f>
        <v>1.3213999999999999</v>
      </c>
      <c r="N21" s="67">
        <f>[1]!s_fa_current(N14,N13)</f>
        <v>0.71360000000000001</v>
      </c>
      <c r="O21" s="67">
        <f>[1]!s_fa_current(O14,O13)</f>
        <v>0</v>
      </c>
      <c r="P21" s="67">
        <f>[1]!s_fa_current(P14,P13)</f>
        <v>0</v>
      </c>
      <c r="Q21" s="67">
        <f>[1]!s_fa_current(Q14,Q13)</f>
        <v>0</v>
      </c>
      <c r="R21" s="67">
        <f>[1]!s_fa_current(R14,R13)</f>
        <v>1.2823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5.5014826719611873</v>
      </c>
      <c r="K22" s="119"/>
      <c r="L22" s="65">
        <f>(公式页!L96+公式页!L97+公式页!L98+公式页!L99+公式页!L100+公式页!L101)/公式页!L103</f>
        <v>6.7407026378540698</v>
      </c>
      <c r="M22" s="65">
        <f t="shared" ref="M22:R22" si="0">(M96+M97+M98+M99+M100+M101)/M103</f>
        <v>3.4672976835458975</v>
      </c>
      <c r="N22" s="65">
        <f t="shared" si="0"/>
        <v>4.8382562885363543</v>
      </c>
      <c r="O22" s="65">
        <f t="shared" si="0"/>
        <v>1.1424499886906132</v>
      </c>
      <c r="P22" s="65">
        <f t="shared" si="0"/>
        <v>0.79737446070691531</v>
      </c>
      <c r="Q22" s="65">
        <f t="shared" si="0"/>
        <v>0.20963235449697701</v>
      </c>
      <c r="R22" s="65">
        <f t="shared" si="0"/>
        <v>4.1253335256282995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2.0500000000000001E-2</v>
      </c>
      <c r="K23" s="119"/>
      <c r="L23" s="67">
        <f>[1]!s_fa_ebitdatodebt(L14,L13)</f>
        <v>7.7799999999999994E-2</v>
      </c>
      <c r="M23" s="67">
        <f>[1]!s_fa_ebitdatodebt(M14,M13)</f>
        <v>3.44E-2</v>
      </c>
      <c r="N23" s="67">
        <f>[1]!s_fa_ebitdatodebt(N14,N13)</f>
        <v>2.64E-2</v>
      </c>
      <c r="O23" s="67">
        <f>[1]!s_fa_ebitdatodebt(O14,O13)</f>
        <v>0</v>
      </c>
      <c r="P23" s="67">
        <f>[1]!s_fa_ebitdatodebt(P14,P13)</f>
        <v>0</v>
      </c>
      <c r="Q23" s="67">
        <f>[1]!s_fa_ebitdatodebt(Q14,Q13)</f>
        <v>0</v>
      </c>
      <c r="R23" s="67">
        <f>[1]!s_fa_ebitdatodebt(R14,R13)</f>
        <v>3.1300000000000001E-2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93.486153090000002</v>
      </c>
      <c r="K24" s="119"/>
      <c r="L24" s="67">
        <f>[1]!b_stm07_is(L14,9,L13,1)/100000000</f>
        <v>359.34350999999998</v>
      </c>
      <c r="M24" s="67">
        <f>[1]!b_stm07_is(M14,9,M13,1)/100000000</f>
        <v>40.771669599799999</v>
      </c>
      <c r="N24" s="67">
        <f>[1]!b_stm07_is(N14,9,N13,1)/100000000</f>
        <v>55.425571461300002</v>
      </c>
      <c r="O24" s="67">
        <f>[1]!b_stm07_is(O14,9,O13,1)/100000000</f>
        <v>29.7071804011</v>
      </c>
      <c r="P24" s="67">
        <f>[1]!b_stm07_is(P14,9,P13,1)/100000000</f>
        <v>61.742357623300002</v>
      </c>
      <c r="Q24" s="67">
        <f>[1]!b_stm07_is(Q14,9,Q13,1)/100000000</f>
        <v>26.533263660399999</v>
      </c>
      <c r="R24" s="67">
        <f>[1]!b_stm07_is(R14,9,R13,1)/100000000</f>
        <v>172.8020099762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0</v>
      </c>
      <c r="K25" s="119"/>
      <c r="L25" s="11">
        <f>[1]!s_fa_salescashintoor(L14,L13)%</f>
        <v>0.7288</v>
      </c>
      <c r="M25" s="11">
        <f>[1]!s_fa_salescashintoor(M14,M13)%</f>
        <v>0.22869999999999999</v>
      </c>
      <c r="N25" s="11">
        <f>[1]!s_fa_salescashintoor(N14,N13)%</f>
        <v>4.8604000000000003</v>
      </c>
      <c r="O25" s="11">
        <f>[1]!s_fa_salescashintoor(O14,O13)%</f>
        <v>0</v>
      </c>
      <c r="P25" s="11">
        <f>[1]!s_fa_salescashintoor(P14,P13)%</f>
        <v>0</v>
      </c>
      <c r="Q25" s="11">
        <f>[1]!s_fa_salescashintoor(Q14,Q13)%</f>
        <v>0</v>
      </c>
      <c r="R25" s="11">
        <f>[1]!s_fa_salescashintoor(R14,R13)%</f>
        <v>9.4022000000000006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0.45830399999999999</v>
      </c>
      <c r="K26" s="119"/>
      <c r="L26" s="11">
        <f>[1]!s_fa_grossprofitmargin(L14,L13)%</f>
        <v>0.41137200000000002</v>
      </c>
      <c r="M26" s="11">
        <f>[1]!s_fa_grossprofitmargin(M14,M13)%</f>
        <v>0.62148700000000001</v>
      </c>
      <c r="N26" s="11">
        <f>[1]!s_fa_grossprofitmargin(N14,N13)%</f>
        <v>0.50889300000000004</v>
      </c>
      <c r="O26" s="11">
        <f>[1]!s_fa_grossprofitmargin(O14,O13)%</f>
        <v>0</v>
      </c>
      <c r="P26" s="11">
        <f>[1]!s_fa_grossprofitmargin(P14,P13)%</f>
        <v>0</v>
      </c>
      <c r="Q26" s="11">
        <f>[1]!s_fa_grossprofitmargin(Q14,Q13)%</f>
        <v>0</v>
      </c>
      <c r="R26" s="11">
        <f>[1]!s_fa_grossprofitmargin(R14,R13)%</f>
        <v>0.61016499999999996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19.985997080000001</v>
      </c>
      <c r="K27" s="119"/>
      <c r="L27" s="68">
        <f>[1]!b_stm07_is(L14,60,L13,1)/100000000</f>
        <v>31.561260000000001</v>
      </c>
      <c r="M27" s="68">
        <f>[1]!b_stm07_is(M14,60,M13,1)/100000000</f>
        <v>12.512638248499998</v>
      </c>
      <c r="N27" s="68">
        <f>[1]!b_stm07_is(N14,60,N13,1)/100000000</f>
        <v>10.215646045</v>
      </c>
      <c r="O27" s="68">
        <f>[1]!b_stm07_is(O14,60,O13,1)/100000000</f>
        <v>16.2854935043</v>
      </c>
      <c r="P27" s="68">
        <f>[1]!b_stm07_is(P14,60,P13,1)/100000000</f>
        <v>26.036750611199999</v>
      </c>
      <c r="Q27" s="68">
        <f>[1]!b_stm07_is(Q14,60,Q13,1)/100000000</f>
        <v>14.274556715399999</v>
      </c>
      <c r="R27" s="68">
        <f>[1]!b_stm07_is(R14,60,R13,1)/100000000</f>
        <v>38.921882408000002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0.11198499999999999</v>
      </c>
      <c r="K28" s="119"/>
      <c r="L28" s="10">
        <f>[1]!s_fa_roe(L14,L13)%</f>
        <v>8.3789000000000002E-2</v>
      </c>
      <c r="M28" s="10">
        <f>[1]!s_fa_roe(M14,M13)%</f>
        <v>0.11161599999999999</v>
      </c>
      <c r="N28" s="10">
        <f>[1]!s_fa_roe(N14,N13)%</f>
        <v>0.11074299999999999</v>
      </c>
      <c r="O28" s="10">
        <f>[1]!s_fa_roe(O14,O13)%</f>
        <v>0.128412</v>
      </c>
      <c r="P28" s="10">
        <f>[1]!s_fa_roe(P14,P13)%</f>
        <v>0.221246</v>
      </c>
      <c r="Q28" s="10">
        <f>[1]!s_fa_roe(Q14,Q13)%</f>
        <v>0.13639099999999998</v>
      </c>
      <c r="R28" s="10">
        <f>[1]!s_fa_roe(R14,R13)%</f>
        <v>0.128862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-89.682016759999996</v>
      </c>
      <c r="K29" s="119"/>
      <c r="L29" s="68">
        <f>[1]!b_stm07_cs(L14,39,L13,1)/100000000</f>
        <v>210.23230000000001</v>
      </c>
      <c r="M29" s="68">
        <f>[1]!b_stm07_cs(M14,39,M13,1)/100000000</f>
        <v>-106.8250900216</v>
      </c>
      <c r="N29" s="68">
        <f>[1]!b_stm07_cs(N14,39,N13,1)/100000000</f>
        <v>-123.40875424149999</v>
      </c>
      <c r="O29" s="68">
        <f>[1]!b_stm07_cs(O14,39,O13,1)/100000000</f>
        <v>-89.279442043099991</v>
      </c>
      <c r="P29" s="68">
        <f>[1]!b_stm07_cs(P14,39,P13,1)/100000000</f>
        <v>113.2593879476</v>
      </c>
      <c r="Q29" s="68">
        <f>[1]!b_stm07_cs(Q14,39,Q13,1)/100000000</f>
        <v>31.360020664899999</v>
      </c>
      <c r="R29" s="68">
        <f>[1]!b_stm07_cs(R14,39,R13,1)/100000000</f>
        <v>-411.94818445370004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28618853565</v>
      </c>
      <c r="K96" s="70"/>
      <c r="L96" s="70">
        <f>[1]!b_stm07_bs(L14,75,L13,1)</f>
        <v>30900714000</v>
      </c>
      <c r="M96" s="70">
        <f>[1]!b_stm07_bs(M14,75,M13,1)</f>
        <v>3075704000</v>
      </c>
      <c r="N96" s="70">
        <f>[1]!b_stm07_bs(N14,75,N13,1)</f>
        <v>12486073834.67</v>
      </c>
      <c r="O96" s="70">
        <f>[1]!b_stm07_bs(O14,75,O13,1)</f>
        <v>0</v>
      </c>
      <c r="P96" s="70">
        <f>[1]!b_stm07_bs(P14,75,P13,1)</f>
        <v>0</v>
      </c>
      <c r="Q96" s="70">
        <f>[1]!b_stm07_bs(Q14,75,Q13,1)</f>
        <v>0</v>
      </c>
      <c r="R96" s="70">
        <f>[1]!b_stm07_bs(R14,75,R13,1)</f>
        <v>13445046538.959999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818214741</v>
      </c>
      <c r="K97" s="70"/>
      <c r="L97" s="70">
        <f>[1]!b_stm07_bs(L14,82,L13,1)</f>
        <v>1816255000</v>
      </c>
      <c r="M97" s="70">
        <f>[1]!b_stm07_bs(M14,82,M13,1)</f>
        <v>309454011.72000003</v>
      </c>
      <c r="N97" s="70">
        <f>[1]!b_stm07_bs(N14,82,N13,1)</f>
        <v>621717157.42999995</v>
      </c>
      <c r="O97" s="70">
        <f>[1]!b_stm07_bs(O14,82,O13,1)</f>
        <v>798895836.65999997</v>
      </c>
      <c r="P97" s="70">
        <f>[1]!b_stm07_bs(P14,82,P13,1)</f>
        <v>580814760.67999995</v>
      </c>
      <c r="Q97" s="70">
        <f>[1]!b_stm07_bs(Q14,82,Q13,1)</f>
        <v>276473780.29000002</v>
      </c>
      <c r="R97" s="70">
        <f>[1]!b_stm07_bs(R14,82,R13,1)</f>
        <v>1723174145.6099999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16357674964</v>
      </c>
      <c r="K98" s="70"/>
      <c r="L98" s="70">
        <f>[1]!b_stm07_bs(L14,88,L13,1)</f>
        <v>25162686000</v>
      </c>
      <c r="M98" s="70">
        <f>[1]!b_stm07_bs(M14,88,M13,1)</f>
        <v>18114868020.029999</v>
      </c>
      <c r="N98" s="70">
        <f>[1]!b_stm07_bs(N14,88,N13,1)</f>
        <v>10768285568.719999</v>
      </c>
      <c r="O98" s="70">
        <f>[1]!b_stm07_bs(O14,88,O13,1)</f>
        <v>0</v>
      </c>
      <c r="P98" s="70">
        <f>[1]!b_stm07_bs(P14,88,P13,1)</f>
        <v>0</v>
      </c>
      <c r="Q98" s="70">
        <f>[1]!b_stm07_bs(Q14,88,Q13,1)</f>
        <v>0</v>
      </c>
      <c r="R98" s="70">
        <f>[1]!b_stm07_bs(R14,88,R13,1)</f>
        <v>38199993022.559998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11489287772</v>
      </c>
      <c r="K99" s="70"/>
      <c r="L99" s="70">
        <f>[1]!b_stm07_bs(L14,147,L13,1)</f>
        <v>1560640000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41074451752</v>
      </c>
      <c r="K100" s="70"/>
      <c r="L100" s="70">
        <f>[1]!b_stm07_bs(L14,94,L13,1)</f>
        <v>105446644000</v>
      </c>
      <c r="M100" s="70">
        <f>[1]!b_stm07_bs(M14,94,M13,1)</f>
        <v>9691636666.9699993</v>
      </c>
      <c r="N100" s="70">
        <f>[1]!b_stm07_bs(N14,94,N13,1)</f>
        <v>23289579793.049999</v>
      </c>
      <c r="O100" s="70">
        <f>[1]!b_stm07_bs(O14,94,O13,1)</f>
        <v>0</v>
      </c>
      <c r="P100" s="70">
        <f>[1]!b_stm07_bs(P14,94,P13,1)</f>
        <v>0</v>
      </c>
      <c r="Q100" s="70">
        <f>[1]!b_stm07_bs(Q14,94,Q13,1)</f>
        <v>0</v>
      </c>
      <c r="R100" s="70">
        <f>[1]!b_stm07_bs(R14,94,R13,1)</f>
        <v>39211770614.75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25444768948</v>
      </c>
      <c r="K101" s="70"/>
      <c r="L101" s="70">
        <f>[1]!b_stm07_bs(L14,95,L13,1)</f>
        <v>73827374000</v>
      </c>
      <c r="M101" s="70">
        <f>[1]!b_stm07_bs(M14,95,M13,1)</f>
        <v>9969987052.7700005</v>
      </c>
      <c r="N101" s="70">
        <f>[1]!b_stm07_bs(N14,95,N13,1)</f>
        <v>2490374766.1100001</v>
      </c>
      <c r="O101" s="70">
        <f>[1]!b_stm07_bs(O14,95,O13,1)</f>
        <v>15469237439.889999</v>
      </c>
      <c r="P101" s="70">
        <f>[1]!b_stm07_bs(P14,95,P13,1)</f>
        <v>9840939466.9500008</v>
      </c>
      <c r="Q101" s="70">
        <f>[1]!b_stm07_bs(Q14,95,Q13,1)</f>
        <v>2060870684.9300001</v>
      </c>
      <c r="R101" s="70">
        <f>[1]!b_stm07_bs(R14,95,R13,1)</f>
        <v>51760538777.089996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22503615684</v>
      </c>
      <c r="K103" s="70"/>
      <c r="L103" s="70">
        <f>[1]!b_stm07_bs(L14,141,L13,1)</f>
        <v>35413862000</v>
      </c>
      <c r="M103" s="70">
        <f>[1]!b_stm07_bs(M14,141,M13,1)</f>
        <v>11871391933.5</v>
      </c>
      <c r="N103" s="70">
        <f>[1]!b_stm07_bs(N14,141,N13,1)</f>
        <v>10263208097.85</v>
      </c>
      <c r="O103" s="70">
        <f>[1]!b_stm07_bs(O14,141,O13,1)</f>
        <v>14239689647.33</v>
      </c>
      <c r="P103" s="70">
        <f>[1]!b_stm07_bs(P14,141,P13,1)</f>
        <v>13070087820.959999</v>
      </c>
      <c r="Q103" s="70">
        <f>[1]!b_stm07_bs(Q14,141,Q13,1)</f>
        <v>11149731494.59</v>
      </c>
      <c r="R103" s="70">
        <f>[1]!b_stm07_bs(R14,141,R13,1)</f>
        <v>34988812953.489998</v>
      </c>
    </row>
    <row r="106" spans="1:19" ht="14.25" customHeight="1" x14ac:dyDescent="0.25">
      <c r="A106" s="118" t="s">
        <v>54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55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d19041715.IB</v>
      </c>
      <c r="L107" s="33">
        <f>B2</f>
        <v>43100</v>
      </c>
      <c r="M107" s="17"/>
    </row>
    <row r="108" spans="1:19" ht="12.75" customHeight="1" x14ac:dyDescent="0.25">
      <c r="A108" s="122" t="s">
        <v>56</v>
      </c>
      <c r="B108" s="113"/>
      <c r="C108" s="122" t="s">
        <v>57</v>
      </c>
      <c r="D108" s="119"/>
      <c r="E108" s="122" t="s">
        <v>58</v>
      </c>
      <c r="F108" s="119"/>
      <c r="G108" s="122" t="s">
        <v>59</v>
      </c>
      <c r="H108" s="119"/>
      <c r="I108" s="122" t="s">
        <v>60</v>
      </c>
      <c r="J108" s="119"/>
      <c r="L108" s="17"/>
      <c r="M108" s="17"/>
    </row>
    <row r="109" spans="1:19" ht="16.5" customHeight="1" x14ac:dyDescent="0.25">
      <c r="A109" s="54" t="s">
        <v>61</v>
      </c>
      <c r="B109" s="12">
        <f>M109/100</f>
        <v>0.87294099999999997</v>
      </c>
      <c r="C109" s="54" t="s">
        <v>36</v>
      </c>
      <c r="D109" s="71">
        <f>[1]!s_fa_current(A2,B2)</f>
        <v>1.177</v>
      </c>
      <c r="E109" s="54" t="s">
        <v>41</v>
      </c>
      <c r="F109" s="72">
        <f>[1]!s_fa_salescashintoor(A2,B2)/100</f>
        <v>0</v>
      </c>
      <c r="G109" s="54" t="s">
        <v>42</v>
      </c>
      <c r="H109" s="12">
        <f>S109/100</f>
        <v>0.45830399999999999</v>
      </c>
      <c r="I109" s="54"/>
      <c r="J109" s="16"/>
      <c r="K109" s="25"/>
      <c r="L109" s="34" t="s">
        <v>61</v>
      </c>
      <c r="M109" s="73">
        <f>[1]!s_fa_debttoassets(A2,B2)</f>
        <v>87.2941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45.830399999999997</v>
      </c>
    </row>
    <row r="110" spans="1:19" ht="15.75" customHeight="1" x14ac:dyDescent="0.25">
      <c r="A110" s="54" t="s">
        <v>62</v>
      </c>
      <c r="B110" s="12">
        <f>M110/100</f>
        <v>0.46157500000000001</v>
      </c>
      <c r="C110" s="54" t="s">
        <v>63</v>
      </c>
      <c r="D110" s="72">
        <f>[1]!s_fa_quick(A2,B2)</f>
        <v>1.1766000000000001</v>
      </c>
      <c r="E110" s="54" t="s">
        <v>64</v>
      </c>
      <c r="F110" s="71">
        <f>[1]!s_fa_arturn(A2,B2)</f>
        <v>0</v>
      </c>
      <c r="G110" s="54" t="s">
        <v>65</v>
      </c>
      <c r="H110" s="12">
        <f>S110/100</f>
        <v>0.29666500000000001</v>
      </c>
      <c r="I110" s="54"/>
      <c r="J110" s="16"/>
      <c r="L110" s="54" t="s">
        <v>62</v>
      </c>
      <c r="M110" s="73">
        <f>[1]!s_fa_catoassets(A2,B2)</f>
        <v>46.157499999999999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29.666499999999999</v>
      </c>
    </row>
    <row r="111" spans="1:19" ht="15" customHeight="1" x14ac:dyDescent="0.25">
      <c r="A111" s="54" t="s">
        <v>66</v>
      </c>
      <c r="B111" s="12">
        <f>M111/100</f>
        <v>0.44924900000000001</v>
      </c>
      <c r="C111" s="54" t="s">
        <v>39</v>
      </c>
      <c r="D111" s="72">
        <f>[1]!s_fa_ebitdatodebt(A2,B2)</f>
        <v>2.0500000000000001E-2</v>
      </c>
      <c r="E111" s="54" t="s">
        <v>67</v>
      </c>
      <c r="F111" s="71">
        <f>[1]!s_fa_invturn(A2,B2)</f>
        <v>170.87540000000001</v>
      </c>
      <c r="G111" s="54" t="s">
        <v>45</v>
      </c>
      <c r="H111" s="12">
        <f>S111/100</f>
        <v>0.11198499999999999</v>
      </c>
      <c r="I111" s="54"/>
      <c r="J111" s="16"/>
      <c r="L111" s="54" t="s">
        <v>66</v>
      </c>
      <c r="M111" s="73">
        <f>[1]!s_fa_currentdebttodebt(A2,B2)</f>
        <v>44.924900000000001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11.198499999999999</v>
      </c>
    </row>
    <row r="112" spans="1:19" ht="14.25" customHeight="1" x14ac:dyDescent="0.25">
      <c r="A112" s="54" t="s">
        <v>38</v>
      </c>
      <c r="B112" s="75">
        <f>(M116+M117+M118+M119+M120+M121)/M123</f>
        <v>5.5014826719611873</v>
      </c>
      <c r="C112" s="54" t="s">
        <v>68</v>
      </c>
      <c r="D112" s="72">
        <f>[1]!s_fa_ebittointerest(A2,B2)</f>
        <v>0</v>
      </c>
      <c r="E112" s="54" t="s">
        <v>69</v>
      </c>
      <c r="F112" s="71">
        <f>[1]!s_fa_caturn(A2,B2)</f>
        <v>0.14990000000000001</v>
      </c>
      <c r="G112" s="54" t="s">
        <v>70</v>
      </c>
      <c r="H112" s="12">
        <f>S112/100</f>
        <v>1.9046E-2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1.9046000000000001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6.4299999999999996E-2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18" t="s">
        <v>72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73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74</v>
      </c>
      <c r="B116" s="113"/>
      <c r="C116" s="124" t="s">
        <v>75</v>
      </c>
      <c r="D116" s="119"/>
      <c r="E116" s="125" t="s">
        <v>76</v>
      </c>
      <c r="F116" s="119"/>
      <c r="G116" s="119"/>
      <c r="H116" s="119"/>
      <c r="I116" s="119"/>
      <c r="J116" s="119"/>
      <c r="L116" s="17" t="s">
        <v>47</v>
      </c>
      <c r="M116" s="70">
        <f>[1]!b_stm07_bs(K107,75,L107,1)</f>
        <v>28618853565</v>
      </c>
    </row>
    <row r="117" spans="1:21" ht="14.25" customHeight="1" x14ac:dyDescent="0.25">
      <c r="A117" s="54" t="s">
        <v>77</v>
      </c>
      <c r="B117" s="72">
        <f t="shared" ref="B117:B131" si="1">M127/100000000</f>
        <v>151.62526625999999</v>
      </c>
      <c r="C117" s="54" t="s">
        <v>78</v>
      </c>
      <c r="D117" s="75">
        <f t="shared" ref="D117:D125" si="2">O127/100000000</f>
        <v>93.486153090000002</v>
      </c>
      <c r="E117" s="126" t="s">
        <v>79</v>
      </c>
      <c r="F117" s="119"/>
      <c r="G117" s="119"/>
      <c r="H117" s="127">
        <f t="shared" ref="H117:H131" si="3">S127/100000000</f>
        <v>0</v>
      </c>
      <c r="I117" s="119"/>
      <c r="J117" s="119"/>
      <c r="L117" s="17" t="s">
        <v>48</v>
      </c>
      <c r="M117" s="70">
        <f>[1]!b_stm07_bs(K107,82,L107,1)</f>
        <v>818214741</v>
      </c>
    </row>
    <row r="118" spans="1:21" ht="14.25" customHeight="1" x14ac:dyDescent="0.25">
      <c r="A118" s="54" t="s">
        <v>80</v>
      </c>
      <c r="B118" s="72">
        <f t="shared" si="1"/>
        <v>0</v>
      </c>
      <c r="C118" s="54" t="s">
        <v>81</v>
      </c>
      <c r="D118" s="75">
        <f t="shared" si="2"/>
        <v>70.641432609999995</v>
      </c>
      <c r="E118" s="126" t="s">
        <v>82</v>
      </c>
      <c r="F118" s="119"/>
      <c r="G118" s="119"/>
      <c r="H118" s="127">
        <f t="shared" si="3"/>
        <v>9.0256884199999998</v>
      </c>
      <c r="I118" s="119"/>
      <c r="J118" s="119"/>
      <c r="L118" s="17" t="s">
        <v>49</v>
      </c>
      <c r="M118" s="70">
        <f>[1]!b_stm07_bs(K107,88,L107,1)</f>
        <v>16357674964</v>
      </c>
    </row>
    <row r="119" spans="1:21" ht="14.25" customHeight="1" x14ac:dyDescent="0.25">
      <c r="A119" s="54" t="s">
        <v>83</v>
      </c>
      <c r="B119" s="72">
        <f t="shared" si="1"/>
        <v>12.772634399999999</v>
      </c>
      <c r="C119" s="54" t="s">
        <v>84</v>
      </c>
      <c r="D119" s="75">
        <f t="shared" si="2"/>
        <v>50.641095839999998</v>
      </c>
      <c r="E119" s="126" t="s">
        <v>85</v>
      </c>
      <c r="F119" s="119"/>
      <c r="G119" s="119"/>
      <c r="H119" s="128">
        <f t="shared" si="3"/>
        <v>339.44987411</v>
      </c>
      <c r="I119" s="119"/>
      <c r="J119" s="119"/>
      <c r="L119" s="17" t="s">
        <v>50</v>
      </c>
      <c r="M119" s="70">
        <f>[1]!b_stm07_bs(K107,147,L107,1)</f>
        <v>11489287772</v>
      </c>
    </row>
    <row r="120" spans="1:21" ht="14.25" customHeight="1" x14ac:dyDescent="0.25">
      <c r="A120" s="54" t="s">
        <v>86</v>
      </c>
      <c r="B120" s="72">
        <f t="shared" si="1"/>
        <v>78.600539839999996</v>
      </c>
      <c r="C120" s="54" t="s">
        <v>87</v>
      </c>
      <c r="D120" s="75">
        <f t="shared" si="2"/>
        <v>0</v>
      </c>
      <c r="E120" s="126" t="s">
        <v>88</v>
      </c>
      <c r="F120" s="119"/>
      <c r="G120" s="119"/>
      <c r="H120" s="127">
        <f t="shared" si="3"/>
        <v>0</v>
      </c>
      <c r="I120" s="119"/>
      <c r="J120" s="119"/>
      <c r="L120" s="17" t="s">
        <v>51</v>
      </c>
      <c r="M120" s="70">
        <f>[1]!b_stm07_bs(K107,94,L107,1)</f>
        <v>41074451752</v>
      </c>
    </row>
    <row r="121" spans="1:21" ht="14.25" customHeight="1" x14ac:dyDescent="0.25">
      <c r="A121" s="54" t="s">
        <v>89</v>
      </c>
      <c r="B121" s="72">
        <f t="shared" si="1"/>
        <v>0</v>
      </c>
      <c r="C121" s="54" t="s">
        <v>90</v>
      </c>
      <c r="D121" s="75">
        <f t="shared" si="2"/>
        <v>15.40135918</v>
      </c>
      <c r="E121" s="126" t="s">
        <v>91</v>
      </c>
      <c r="F121" s="119"/>
      <c r="G121" s="119"/>
      <c r="H121" s="127">
        <f t="shared" si="3"/>
        <v>8.4470995099999993</v>
      </c>
      <c r="I121" s="119"/>
      <c r="J121" s="119"/>
      <c r="L121" s="17" t="s">
        <v>52</v>
      </c>
      <c r="M121" s="70">
        <f>[1]!b_stm07_bs(K107,95,L107,1)</f>
        <v>25444768948</v>
      </c>
    </row>
    <row r="122" spans="1:21" ht="14.25" customHeight="1" x14ac:dyDescent="0.25">
      <c r="A122" s="54" t="s">
        <v>92</v>
      </c>
      <c r="B122" s="72">
        <f t="shared" si="1"/>
        <v>0.45131083</v>
      </c>
      <c r="C122" s="54" t="s">
        <v>93</v>
      </c>
      <c r="D122" s="75">
        <f t="shared" si="2"/>
        <v>0</v>
      </c>
      <c r="E122" s="126" t="s">
        <v>94</v>
      </c>
      <c r="F122" s="119"/>
      <c r="G122" s="119"/>
      <c r="H122" s="128">
        <f t="shared" si="3"/>
        <v>429.13189087000001</v>
      </c>
      <c r="I122" s="119"/>
      <c r="J122" s="119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1771.1122861900001</v>
      </c>
      <c r="C123" s="54" t="s">
        <v>96</v>
      </c>
      <c r="D123" s="75">
        <f t="shared" si="2"/>
        <v>27.734102159999999</v>
      </c>
      <c r="E123" s="126" t="s">
        <v>97</v>
      </c>
      <c r="F123" s="119"/>
      <c r="G123" s="119"/>
      <c r="H123" s="128">
        <f t="shared" si="3"/>
        <v>-89.682016759999996</v>
      </c>
      <c r="I123" s="119"/>
      <c r="J123" s="119"/>
      <c r="L123" s="17" t="s">
        <v>53</v>
      </c>
      <c r="M123" s="70">
        <f>[1]!b_stm07_bs(K107,141,L107,1)</f>
        <v>22503615684</v>
      </c>
    </row>
    <row r="124" spans="1:21" ht="14.25" customHeight="1" x14ac:dyDescent="0.25">
      <c r="A124" s="54" t="s">
        <v>98</v>
      </c>
      <c r="B124" s="72">
        <f t="shared" si="1"/>
        <v>286.18853565000001</v>
      </c>
      <c r="C124" s="54" t="s">
        <v>99</v>
      </c>
      <c r="D124" s="75">
        <f t="shared" si="2"/>
        <v>27.706709140000001</v>
      </c>
      <c r="E124" s="126" t="s">
        <v>100</v>
      </c>
      <c r="F124" s="119"/>
      <c r="G124" s="119"/>
      <c r="H124" s="128">
        <f t="shared" si="3"/>
        <v>-142.53051515999999</v>
      </c>
      <c r="I124" s="119"/>
      <c r="J124" s="119"/>
      <c r="L124" s="17"/>
      <c r="M124" s="17"/>
    </row>
    <row r="125" spans="1:21" ht="27" customHeight="1" x14ac:dyDescent="0.25">
      <c r="A125" s="54" t="s">
        <v>101</v>
      </c>
      <c r="B125" s="72">
        <f t="shared" si="1"/>
        <v>163.57674964</v>
      </c>
      <c r="C125" s="54" t="s">
        <v>43</v>
      </c>
      <c r="D125" s="75">
        <f t="shared" si="2"/>
        <v>19.985997080000001</v>
      </c>
      <c r="E125" s="126" t="s">
        <v>102</v>
      </c>
      <c r="F125" s="119"/>
      <c r="G125" s="119"/>
      <c r="H125" s="127">
        <f t="shared" si="3"/>
        <v>26.4</v>
      </c>
      <c r="I125" s="119"/>
      <c r="J125" s="119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114.89287772</v>
      </c>
      <c r="C126" s="54"/>
      <c r="D126" s="79"/>
      <c r="E126" s="126" t="s">
        <v>104</v>
      </c>
      <c r="F126" s="119"/>
      <c r="G126" s="119"/>
      <c r="H126" s="127">
        <f t="shared" si="3"/>
        <v>0</v>
      </c>
      <c r="I126" s="119"/>
      <c r="J126" s="119"/>
      <c r="L126" s="129" t="s">
        <v>74</v>
      </c>
      <c r="M126" s="119"/>
      <c r="N126" s="129" t="s">
        <v>75</v>
      </c>
      <c r="O126" s="119"/>
      <c r="P126" s="120" t="s">
        <v>76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105</v>
      </c>
      <c r="B127" s="72">
        <f t="shared" si="1"/>
        <v>410.74451751999999</v>
      </c>
      <c r="C127" s="54"/>
      <c r="D127" s="79"/>
      <c r="E127" s="126" t="s">
        <v>106</v>
      </c>
      <c r="F127" s="119"/>
      <c r="G127" s="119"/>
      <c r="H127" s="127">
        <f t="shared" si="3"/>
        <v>368.39569574000001</v>
      </c>
      <c r="I127" s="119"/>
      <c r="J127" s="119"/>
      <c r="L127" s="54" t="s">
        <v>77</v>
      </c>
      <c r="M127" s="74">
        <f>[1]!b_stm07_bs(K107,9,L107,1)</f>
        <v>15162526626</v>
      </c>
      <c r="N127" s="54" t="s">
        <v>78</v>
      </c>
      <c r="O127" s="74">
        <f>[1]!b_stm07_is(K107,83,L107,1)</f>
        <v>9348615309</v>
      </c>
      <c r="P127" s="126" t="s">
        <v>79</v>
      </c>
      <c r="Q127" s="119"/>
      <c r="R127" s="119"/>
      <c r="S127" s="131">
        <f>[1]!b_stm07_cs(K107,9,L107,1)</f>
        <v>0</v>
      </c>
      <c r="T127" s="130"/>
      <c r="U127" s="130"/>
    </row>
    <row r="128" spans="1:21" ht="14.25" customHeight="1" x14ac:dyDescent="0.25">
      <c r="A128" s="54" t="s">
        <v>107</v>
      </c>
      <c r="B128" s="72">
        <f t="shared" si="1"/>
        <v>254.44768948000001</v>
      </c>
      <c r="C128" s="54"/>
      <c r="D128" s="79"/>
      <c r="E128" s="126" t="s">
        <v>108</v>
      </c>
      <c r="F128" s="119"/>
      <c r="G128" s="119"/>
      <c r="H128" s="128">
        <f t="shared" si="3"/>
        <v>439.65979573999999</v>
      </c>
      <c r="I128" s="119"/>
      <c r="J128" s="119"/>
      <c r="L128" s="54" t="s">
        <v>80</v>
      </c>
      <c r="M128" s="74">
        <f>[1]!b_stm07_bs(K107,12,L107,1)</f>
        <v>0</v>
      </c>
      <c r="N128" s="54" t="s">
        <v>81</v>
      </c>
      <c r="O128" s="74">
        <f>[1]!b_stm07_is(K107,84,L107,1)</f>
        <v>7064143261</v>
      </c>
      <c r="P128" s="126" t="s">
        <v>82</v>
      </c>
      <c r="Q128" s="119"/>
      <c r="R128" s="119"/>
      <c r="S128" s="131">
        <f>[1]!b_stm07_cs(K107,11,L107,1)</f>
        <v>902568842</v>
      </c>
      <c r="T128" s="130"/>
      <c r="U128" s="130"/>
    </row>
    <row r="129" spans="1:21" ht="14.25" customHeight="1" x14ac:dyDescent="0.25">
      <c r="A129" s="54" t="s">
        <v>109</v>
      </c>
      <c r="B129" s="78">
        <f t="shared" si="1"/>
        <v>1546.07612935</v>
      </c>
      <c r="C129" s="14"/>
      <c r="D129" s="13"/>
      <c r="E129" s="126" t="s">
        <v>110</v>
      </c>
      <c r="F129" s="119"/>
      <c r="G129" s="119"/>
      <c r="H129" s="127">
        <f t="shared" si="3"/>
        <v>119.45</v>
      </c>
      <c r="I129" s="119"/>
      <c r="J129" s="119"/>
      <c r="L129" s="54" t="s">
        <v>83</v>
      </c>
      <c r="M129" s="74">
        <f>[1]!b_stm07_bs(K107,13,L107,1)</f>
        <v>1277263440</v>
      </c>
      <c r="N129" s="54" t="s">
        <v>84</v>
      </c>
      <c r="O129" s="74">
        <f>[1]!b_stm07_is(K107,10,L107,1)</f>
        <v>5064109584</v>
      </c>
      <c r="P129" s="126" t="s">
        <v>85</v>
      </c>
      <c r="Q129" s="119"/>
      <c r="R129" s="119"/>
      <c r="S129" s="132">
        <f>[1]!b_stm07_cs(K107,25,L107,1)</f>
        <v>33944987411</v>
      </c>
      <c r="T129" s="130"/>
      <c r="U129" s="130"/>
    </row>
    <row r="130" spans="1:21" ht="14.25" customHeight="1" x14ac:dyDescent="0.25">
      <c r="A130" s="54" t="s">
        <v>111</v>
      </c>
      <c r="B130" s="78">
        <f t="shared" si="1"/>
        <v>225.03615683999999</v>
      </c>
      <c r="C130" s="14"/>
      <c r="D130" s="13"/>
      <c r="E130" s="126" t="s">
        <v>112</v>
      </c>
      <c r="F130" s="119"/>
      <c r="G130" s="119"/>
      <c r="H130" s="127">
        <f t="shared" si="3"/>
        <v>120.6603434</v>
      </c>
      <c r="I130" s="119"/>
      <c r="J130" s="119"/>
      <c r="L130" s="54" t="s">
        <v>86</v>
      </c>
      <c r="M130" s="74">
        <f>[1]!b_stm07_bs(K107,31,L107,1)</f>
        <v>7860053984</v>
      </c>
      <c r="N130" s="54" t="s">
        <v>87</v>
      </c>
      <c r="O130" s="74">
        <f>[1]!b_stm07_is(K107,12,L107,1)</f>
        <v>0</v>
      </c>
      <c r="P130" s="126" t="s">
        <v>88</v>
      </c>
      <c r="Q130" s="119"/>
      <c r="R130" s="119"/>
      <c r="S130" s="131">
        <f>[1]!b_stm07_cs(K107,26,L107,1)</f>
        <v>0</v>
      </c>
      <c r="T130" s="130"/>
      <c r="U130" s="130"/>
    </row>
    <row r="131" spans="1:21" ht="14.25" customHeight="1" x14ac:dyDescent="0.25">
      <c r="A131" s="15" t="s">
        <v>113</v>
      </c>
      <c r="B131" s="78">
        <f t="shared" si="1"/>
        <v>1771.1122861900001</v>
      </c>
      <c r="C131" s="14"/>
      <c r="D131" s="13"/>
      <c r="E131" s="126" t="s">
        <v>114</v>
      </c>
      <c r="F131" s="119"/>
      <c r="G131" s="119"/>
      <c r="H131" s="128">
        <f t="shared" si="3"/>
        <v>318.99945234</v>
      </c>
      <c r="I131" s="119"/>
      <c r="J131" s="119"/>
      <c r="L131" s="54" t="s">
        <v>89</v>
      </c>
      <c r="M131" s="74">
        <f>[1]!b_stm07_bs(K107,33,L107,1)</f>
        <v>0</v>
      </c>
      <c r="N131" s="54" t="s">
        <v>90</v>
      </c>
      <c r="O131" s="74">
        <f>[1]!b_stm07_is(K107,13,L107,1)</f>
        <v>1540135918</v>
      </c>
      <c r="P131" s="126" t="s">
        <v>91</v>
      </c>
      <c r="Q131" s="119"/>
      <c r="R131" s="119"/>
      <c r="S131" s="131">
        <f>[1]!b_stm07_cs(K107,29,L107,1)</f>
        <v>844709951</v>
      </c>
      <c r="T131" s="130"/>
      <c r="U131" s="130"/>
    </row>
    <row r="132" spans="1:21" x14ac:dyDescent="0.25">
      <c r="L132" s="54" t="s">
        <v>92</v>
      </c>
      <c r="M132" s="74">
        <f>[1]!b_stm07_bs(K107,37,L107,1)</f>
        <v>45131083</v>
      </c>
      <c r="N132" s="54" t="s">
        <v>93</v>
      </c>
      <c r="O132" s="74">
        <f>[1]!b_stm07_is(K107,14,L107,1)</f>
        <v>0</v>
      </c>
      <c r="P132" s="126" t="s">
        <v>94</v>
      </c>
      <c r="Q132" s="119"/>
      <c r="R132" s="119"/>
      <c r="S132" s="132">
        <f>[1]!b_stm07_cs(K107,37,L107,1)</f>
        <v>42913189087</v>
      </c>
      <c r="T132" s="130"/>
      <c r="U132" s="130"/>
    </row>
    <row r="133" spans="1:21" x14ac:dyDescent="0.25">
      <c r="L133" s="54" t="s">
        <v>95</v>
      </c>
      <c r="M133" s="80">
        <f>[1]!b_stm07_bs(K107,74,L107,1)</f>
        <v>177111228619</v>
      </c>
      <c r="N133" s="54" t="s">
        <v>96</v>
      </c>
      <c r="O133" s="74">
        <f>[1]!b_stm07_is(K107,48,L107,1)</f>
        <v>2773410216</v>
      </c>
      <c r="P133" s="126" t="s">
        <v>97</v>
      </c>
      <c r="Q133" s="119"/>
      <c r="R133" s="119"/>
      <c r="S133" s="132">
        <f>[1]!b_stm07_cs(K107,39,L107,1)</f>
        <v>-8968201676</v>
      </c>
      <c r="T133" s="130"/>
      <c r="U133" s="130"/>
    </row>
    <row r="134" spans="1:21" x14ac:dyDescent="0.25">
      <c r="L134" s="54" t="s">
        <v>98</v>
      </c>
      <c r="M134" s="74">
        <f>[1]!b_stm07_bs(K107,75,L107,1)</f>
        <v>28618853565</v>
      </c>
      <c r="N134" s="54" t="s">
        <v>99</v>
      </c>
      <c r="O134" s="74">
        <f>[1]!b_stm07_is(K107,55,L107,1)</f>
        <v>2770670914</v>
      </c>
      <c r="P134" s="126" t="s">
        <v>100</v>
      </c>
      <c r="Q134" s="119"/>
      <c r="R134" s="119"/>
      <c r="S134" s="132">
        <f>[1]!b_stm07_cs(K107,59,L107,1)</f>
        <v>-14253051516</v>
      </c>
      <c r="T134" s="130"/>
      <c r="U134" s="130"/>
    </row>
    <row r="135" spans="1:21" ht="32.4" customHeight="1" x14ac:dyDescent="0.25">
      <c r="L135" s="54" t="s">
        <v>101</v>
      </c>
      <c r="M135" s="74">
        <f>[1]!b_stm07_bs(K107,88,L107,1)</f>
        <v>16357674964</v>
      </c>
      <c r="N135" s="54" t="s">
        <v>43</v>
      </c>
      <c r="O135" s="74">
        <f>[1]!b_stm07_is(K107,60,L107,1)</f>
        <v>1998599708</v>
      </c>
      <c r="P135" s="126" t="s">
        <v>102</v>
      </c>
      <c r="Q135" s="119"/>
      <c r="R135" s="119"/>
      <c r="S135" s="131">
        <f>[1]!b_stm07_cs(K107,60,L107,1)</f>
        <v>2640000000</v>
      </c>
      <c r="T135" s="130"/>
      <c r="U135" s="130"/>
    </row>
    <row r="136" spans="1:21" ht="21.6" customHeight="1" x14ac:dyDescent="0.25">
      <c r="L136" s="54" t="s">
        <v>103</v>
      </c>
      <c r="M136" s="74">
        <f>[1]!b_stm07_bs(K107,147,L107,1)</f>
        <v>11489287772</v>
      </c>
      <c r="N136" s="54"/>
      <c r="O136" s="79"/>
      <c r="P136" s="126" t="s">
        <v>104</v>
      </c>
      <c r="Q136" s="119"/>
      <c r="R136" s="119"/>
      <c r="S136" s="131">
        <f>[1]!b_stm07_cs(K107,61,L107,1)</f>
        <v>0</v>
      </c>
      <c r="T136" s="130"/>
      <c r="U136" s="130"/>
    </row>
    <row r="137" spans="1:21" x14ac:dyDescent="0.25">
      <c r="L137" s="54" t="s">
        <v>105</v>
      </c>
      <c r="M137" s="74">
        <f>[1]!b_stm07_bs(K107,94,L107,1)</f>
        <v>41074451752</v>
      </c>
      <c r="N137" s="54"/>
      <c r="O137" s="79"/>
      <c r="P137" s="126" t="s">
        <v>106</v>
      </c>
      <c r="Q137" s="119"/>
      <c r="R137" s="119"/>
      <c r="S137" s="131">
        <f>[1]!b_stm07_cs(K107,63,L107,1)</f>
        <v>36839569574</v>
      </c>
      <c r="T137" s="130"/>
      <c r="U137" s="130"/>
    </row>
    <row r="138" spans="1:21" x14ac:dyDescent="0.25">
      <c r="L138" s="54" t="s">
        <v>107</v>
      </c>
      <c r="M138" s="74">
        <f>[1]!b_stm07_bs(K107,95,L107,1)</f>
        <v>25444768948</v>
      </c>
      <c r="N138" s="54"/>
      <c r="O138" s="79"/>
      <c r="P138" s="126" t="s">
        <v>108</v>
      </c>
      <c r="Q138" s="119"/>
      <c r="R138" s="119"/>
      <c r="S138" s="132">
        <f>[1]!b_stm07_cs(K107,68,L107,1)</f>
        <v>43965979574</v>
      </c>
      <c r="T138" s="130"/>
      <c r="U138" s="130"/>
    </row>
    <row r="139" spans="1:21" x14ac:dyDescent="0.25">
      <c r="L139" s="54" t="s">
        <v>109</v>
      </c>
      <c r="M139" s="80">
        <f>[1]!b_stm07_bs(K107,128,L107,1)</f>
        <v>154607612935</v>
      </c>
      <c r="N139" s="14"/>
      <c r="O139" s="13"/>
      <c r="P139" s="126" t="s">
        <v>110</v>
      </c>
      <c r="Q139" s="119"/>
      <c r="R139" s="119"/>
      <c r="S139" s="131">
        <f>[1]!b_stm07_cs(K107,69,L107,1)</f>
        <v>11945000000</v>
      </c>
      <c r="T139" s="130"/>
      <c r="U139" s="130"/>
    </row>
    <row r="140" spans="1:21" ht="21.6" customHeight="1" x14ac:dyDescent="0.25">
      <c r="L140" s="54" t="s">
        <v>111</v>
      </c>
      <c r="M140" s="80">
        <f>[1]!b_stm07_bs(K107,141,L107,1)</f>
        <v>22503615684</v>
      </c>
      <c r="N140" s="14"/>
      <c r="O140" s="13"/>
      <c r="P140" s="126" t="s">
        <v>112</v>
      </c>
      <c r="Q140" s="119"/>
      <c r="R140" s="119"/>
      <c r="S140" s="131">
        <f>[1]!b_stm07_cs(K107,75,L107,1)</f>
        <v>12066034340</v>
      </c>
      <c r="T140" s="130"/>
      <c r="U140" s="130"/>
    </row>
    <row r="141" spans="1:21" ht="21.6" customHeight="1" x14ac:dyDescent="0.25">
      <c r="L141" s="15" t="s">
        <v>113</v>
      </c>
      <c r="M141" s="80">
        <f>[1]!b_stm07_bs(K107,145,L107,1)</f>
        <v>177111228619</v>
      </c>
      <c r="N141" s="14"/>
      <c r="O141" s="13"/>
      <c r="P141" s="126" t="s">
        <v>114</v>
      </c>
      <c r="Q141" s="119"/>
      <c r="R141" s="119"/>
      <c r="S141" s="132">
        <f>[1]!b_stm07_cs(K107,77,L107,1)</f>
        <v>31899945234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679</v>
      </c>
      <c r="C2" s="115"/>
      <c r="D2" s="57" t="s">
        <v>3</v>
      </c>
      <c r="E2" s="114" t="s">
        <v>680</v>
      </c>
      <c r="F2" s="115"/>
      <c r="G2" s="115"/>
    </row>
    <row r="3" spans="1:12" ht="14.25" customHeight="1" x14ac:dyDescent="0.25">
      <c r="A3" s="57" t="s">
        <v>4</v>
      </c>
      <c r="B3" s="114" t="s">
        <v>681</v>
      </c>
      <c r="C3" s="115"/>
      <c r="D3" s="57" t="s">
        <v>5</v>
      </c>
      <c r="E3" s="114" t="s">
        <v>682</v>
      </c>
      <c r="F3" s="115"/>
      <c r="G3" s="115"/>
    </row>
    <row r="4" spans="1:12" ht="113.25" customHeight="1" x14ac:dyDescent="0.25">
      <c r="A4" s="57" t="s">
        <v>6</v>
      </c>
      <c r="B4" s="116" t="s">
        <v>683</v>
      </c>
      <c r="C4" s="115"/>
      <c r="D4" s="115"/>
      <c r="E4" s="115"/>
      <c r="F4" s="115"/>
      <c r="G4" s="115"/>
    </row>
    <row r="5" spans="1:12" ht="14.4" x14ac:dyDescent="0.25">
      <c r="A5" s="81" t="s">
        <v>115</v>
      </c>
      <c r="B5" s="135" t="s">
        <v>684</v>
      </c>
      <c r="C5" s="115"/>
      <c r="D5" s="115"/>
      <c r="E5" s="115"/>
      <c r="F5" s="136">
        <v>0.67930000305175786</v>
      </c>
      <c r="G5" s="115"/>
    </row>
    <row r="6" spans="1:12" ht="11.25" customHeight="1" x14ac:dyDescent="0.25">
      <c r="A6" s="81" t="s">
        <v>116</v>
      </c>
      <c r="B6" s="135" t="s">
        <v>685</v>
      </c>
      <c r="C6" s="115"/>
      <c r="D6" s="115"/>
      <c r="E6" s="115"/>
      <c r="F6" s="136">
        <v>0.32069999694824219</v>
      </c>
      <c r="G6" s="115"/>
    </row>
    <row r="7" spans="1:12" ht="11.25" customHeight="1" x14ac:dyDescent="0.25">
      <c r="A7" s="81" t="s">
        <v>117</v>
      </c>
      <c r="B7" s="135" t="s">
        <v>686</v>
      </c>
      <c r="C7" s="115"/>
      <c r="D7" s="115"/>
      <c r="E7" s="115"/>
      <c r="F7" s="136" t="s">
        <v>686</v>
      </c>
      <c r="G7" s="115"/>
    </row>
    <row r="8" spans="1:12" ht="11.25" customHeight="1" x14ac:dyDescent="0.25">
      <c r="A8" s="81" t="s">
        <v>118</v>
      </c>
      <c r="B8" s="135" t="s">
        <v>686</v>
      </c>
      <c r="C8" s="115"/>
      <c r="D8" s="115"/>
      <c r="E8" s="115"/>
      <c r="F8" s="136" t="s">
        <v>686</v>
      </c>
      <c r="G8" s="115"/>
    </row>
    <row r="9" spans="1:12" ht="11.25" customHeight="1" x14ac:dyDescent="0.25">
      <c r="A9" s="81" t="s">
        <v>119</v>
      </c>
      <c r="B9" s="135" t="s">
        <v>686</v>
      </c>
      <c r="C9" s="115"/>
      <c r="D9" s="115"/>
      <c r="E9" s="115"/>
      <c r="F9" s="136" t="s">
        <v>686</v>
      </c>
      <c r="G9" s="115"/>
    </row>
    <row r="11" spans="1:12" ht="14.4" customHeight="1" x14ac:dyDescent="0.25">
      <c r="A11" s="137" t="s">
        <v>120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/>
      <c r="E13" s="63">
        <v>5</v>
      </c>
      <c r="F13" s="64" t="s">
        <v>25</v>
      </c>
      <c r="G13" s="63">
        <v>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2.7</v>
      </c>
      <c r="E14" s="82">
        <v>0.24383561643835616</v>
      </c>
      <c r="F14">
        <v>0</v>
      </c>
      <c r="G14" s="63">
        <v>5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4.1500000000000004</v>
      </c>
      <c r="E15" s="82">
        <v>0.92349726775956287</v>
      </c>
      <c r="F15" t="s">
        <v>25</v>
      </c>
      <c r="G15" s="63">
        <v>3.75</v>
      </c>
    </row>
    <row r="16" spans="1:12" ht="14.4" customHeight="1" x14ac:dyDescent="0.25">
      <c r="A16" t="s">
        <v>130</v>
      </c>
      <c r="B16" t="s">
        <v>128</v>
      </c>
      <c r="C16" t="s">
        <v>131</v>
      </c>
      <c r="D16" s="63">
        <v>4.3</v>
      </c>
      <c r="E16" s="82">
        <v>1.6794520547945204</v>
      </c>
      <c r="F16" t="s">
        <v>25</v>
      </c>
      <c r="G16" s="63">
        <v>2.2400000000000002</v>
      </c>
    </row>
    <row r="17" spans="1:7" ht="14.4" customHeight="1" x14ac:dyDescent="0.25">
      <c r="A17" t="s">
        <v>132</v>
      </c>
      <c r="B17" t="s">
        <v>128</v>
      </c>
      <c r="C17" t="s">
        <v>133</v>
      </c>
      <c r="D17" s="63">
        <v>4.4000000000000004</v>
      </c>
      <c r="E17" s="82">
        <v>2.4273972602739726</v>
      </c>
      <c r="F17" t="s">
        <v>25</v>
      </c>
      <c r="G17" s="63">
        <v>1.41</v>
      </c>
    </row>
    <row r="18" spans="1:7" ht="14.4" customHeight="1" x14ac:dyDescent="0.25">
      <c r="A18" t="s">
        <v>134</v>
      </c>
      <c r="B18" t="s">
        <v>128</v>
      </c>
      <c r="C18" t="s">
        <v>135</v>
      </c>
      <c r="D18" s="63">
        <v>7</v>
      </c>
      <c r="E18" s="82">
        <v>2.6767123287671231</v>
      </c>
      <c r="F18" t="s">
        <v>687</v>
      </c>
      <c r="G18" s="63">
        <v>0.37</v>
      </c>
    </row>
    <row r="19" spans="1:7" ht="14.4" customHeight="1" x14ac:dyDescent="0.25">
      <c r="A19" t="s">
        <v>136</v>
      </c>
      <c r="B19" t="s">
        <v>128</v>
      </c>
      <c r="C19" t="s">
        <v>137</v>
      </c>
      <c r="D19" s="63">
        <v>7.5</v>
      </c>
      <c r="E19" s="82">
        <v>3.4246575342465753</v>
      </c>
      <c r="F19" t="s">
        <v>688</v>
      </c>
      <c r="G19" s="63">
        <v>0.72</v>
      </c>
    </row>
    <row r="20" spans="1:7" ht="14.4" customHeight="1" x14ac:dyDescent="0.25">
      <c r="A20" t="s">
        <v>138</v>
      </c>
      <c r="B20" t="s">
        <v>128</v>
      </c>
      <c r="C20" t="s">
        <v>139</v>
      </c>
      <c r="D20" s="63"/>
      <c r="E20" s="82">
        <v>4.9234972677595632</v>
      </c>
      <c r="F20">
        <v>0</v>
      </c>
      <c r="G20" s="63">
        <v>0.76283999999999996</v>
      </c>
    </row>
    <row r="21" spans="1:7" ht="14.4" customHeight="1" x14ac:dyDescent="0.25">
      <c r="A21" t="s">
        <v>140</v>
      </c>
      <c r="B21" t="s">
        <v>141</v>
      </c>
      <c r="C21" t="s">
        <v>142</v>
      </c>
      <c r="D21" s="63">
        <v>4.2</v>
      </c>
      <c r="E21" s="82">
        <v>1.0356164383561643</v>
      </c>
      <c r="F21" t="s">
        <v>25</v>
      </c>
      <c r="G21" s="63">
        <v>10.74</v>
      </c>
    </row>
    <row r="22" spans="1:7" ht="14.4" customHeight="1" x14ac:dyDescent="0.25">
      <c r="A22" t="s">
        <v>143</v>
      </c>
      <c r="B22" t="s">
        <v>141</v>
      </c>
      <c r="C22" t="s">
        <v>144</v>
      </c>
      <c r="D22" s="63">
        <v>4.5</v>
      </c>
      <c r="E22" s="82">
        <v>1.0356164383561643</v>
      </c>
      <c r="F22" t="s">
        <v>687</v>
      </c>
      <c r="G22" s="63">
        <v>0.65</v>
      </c>
    </row>
    <row r="23" spans="1:7" ht="14.4" customHeight="1" x14ac:dyDescent="0.25">
      <c r="A23" t="s">
        <v>145</v>
      </c>
      <c r="B23" t="s">
        <v>141</v>
      </c>
      <c r="C23" t="s">
        <v>146</v>
      </c>
      <c r="D23" s="63">
        <v>6.95</v>
      </c>
      <c r="E23" s="82">
        <v>1.284931506849315</v>
      </c>
      <c r="F23" t="s">
        <v>688</v>
      </c>
      <c r="G23" s="63">
        <v>0.32</v>
      </c>
    </row>
    <row r="24" spans="1:7" ht="14.4" customHeight="1" x14ac:dyDescent="0.25">
      <c r="A24" t="s">
        <v>147</v>
      </c>
      <c r="B24" t="s">
        <v>141</v>
      </c>
      <c r="C24" t="s">
        <v>148</v>
      </c>
      <c r="D24" s="63"/>
      <c r="E24" s="82">
        <v>2.536986301369863</v>
      </c>
      <c r="F24">
        <v>0</v>
      </c>
      <c r="G24" s="63">
        <v>1.1499999999999999</v>
      </c>
    </row>
    <row r="25" spans="1:7" ht="14.4" customHeight="1" x14ac:dyDescent="0.25">
      <c r="A25" t="s">
        <v>149</v>
      </c>
      <c r="B25" t="s">
        <v>150</v>
      </c>
      <c r="C25" t="s">
        <v>151</v>
      </c>
      <c r="D25" s="63">
        <v>4.68</v>
      </c>
      <c r="E25" s="82">
        <v>2.3232876712328769</v>
      </c>
      <c r="F25" t="s">
        <v>25</v>
      </c>
      <c r="G25" s="63">
        <v>15.76</v>
      </c>
    </row>
    <row r="26" spans="1:7" ht="14.4" customHeight="1" x14ac:dyDescent="0.25">
      <c r="A26" t="s">
        <v>152</v>
      </c>
      <c r="B26" t="s">
        <v>150</v>
      </c>
      <c r="C26" t="s">
        <v>153</v>
      </c>
      <c r="D26" s="63">
        <v>7.2</v>
      </c>
      <c r="E26" s="82">
        <v>2.8328767123287673</v>
      </c>
      <c r="F26" t="s">
        <v>687</v>
      </c>
      <c r="G26" s="63">
        <v>1.07</v>
      </c>
    </row>
    <row r="27" spans="1:7" ht="14.4" customHeight="1" x14ac:dyDescent="0.25">
      <c r="A27" t="s">
        <v>154</v>
      </c>
      <c r="B27" t="s">
        <v>150</v>
      </c>
      <c r="C27" t="s">
        <v>155</v>
      </c>
      <c r="D27" s="63">
        <v>7.3</v>
      </c>
      <c r="E27" s="82">
        <v>3.0794520547945208</v>
      </c>
      <c r="F27" t="s">
        <v>688</v>
      </c>
      <c r="G27" s="63">
        <v>1.05</v>
      </c>
    </row>
    <row r="28" spans="1:7" ht="14.4" customHeight="1" x14ac:dyDescent="0.25">
      <c r="A28" t="s">
        <v>156</v>
      </c>
      <c r="B28" t="s">
        <v>150</v>
      </c>
      <c r="C28" t="s">
        <v>157</v>
      </c>
      <c r="D28" s="63"/>
      <c r="E28" s="82">
        <v>4.580821917808219</v>
      </c>
      <c r="F28">
        <v>0</v>
      </c>
      <c r="G28" s="63">
        <v>1.3458000000000001</v>
      </c>
    </row>
    <row r="29" spans="1:7" ht="14.4" customHeight="1" x14ac:dyDescent="0.25">
      <c r="A29" t="s">
        <v>158</v>
      </c>
      <c r="B29" t="s">
        <v>159</v>
      </c>
      <c r="C29" t="s">
        <v>160</v>
      </c>
      <c r="D29" s="63">
        <v>4.5</v>
      </c>
      <c r="E29" s="82">
        <v>1.0767123287671232</v>
      </c>
      <c r="F29" t="s">
        <v>25</v>
      </c>
      <c r="G29" s="63">
        <v>11.9</v>
      </c>
    </row>
    <row r="30" spans="1:7" ht="14.4" customHeight="1" x14ac:dyDescent="0.25">
      <c r="A30" t="s">
        <v>161</v>
      </c>
      <c r="B30" t="s">
        <v>159</v>
      </c>
      <c r="C30" t="s">
        <v>162</v>
      </c>
      <c r="D30" s="63">
        <v>5</v>
      </c>
      <c r="E30" s="82">
        <v>1.0767123287671232</v>
      </c>
      <c r="F30" t="s">
        <v>687</v>
      </c>
      <c r="G30" s="63">
        <v>0.72</v>
      </c>
    </row>
    <row r="31" spans="1:7" ht="14.4" customHeight="1" x14ac:dyDescent="0.25">
      <c r="A31" t="s">
        <v>163</v>
      </c>
      <c r="B31" t="s">
        <v>159</v>
      </c>
      <c r="C31" t="s">
        <v>164</v>
      </c>
      <c r="D31" s="63">
        <v>7.5</v>
      </c>
      <c r="E31" s="82">
        <v>1.0767123287671232</v>
      </c>
      <c r="F31" t="s">
        <v>688</v>
      </c>
      <c r="G31" s="63">
        <v>0.36</v>
      </c>
    </row>
    <row r="32" spans="1:7" ht="14.4" customHeight="1" x14ac:dyDescent="0.25">
      <c r="A32" t="s">
        <v>165</v>
      </c>
      <c r="B32" t="s">
        <v>159</v>
      </c>
      <c r="C32" t="s">
        <v>166</v>
      </c>
      <c r="D32" s="63"/>
      <c r="E32" s="82">
        <v>1.580821917808219</v>
      </c>
      <c r="F32">
        <v>0</v>
      </c>
      <c r="G32" s="63">
        <v>1.27</v>
      </c>
    </row>
    <row r="33" spans="1:7" ht="14.4" customHeight="1" x14ac:dyDescent="0.25">
      <c r="A33" t="s">
        <v>167</v>
      </c>
      <c r="B33" t="s">
        <v>168</v>
      </c>
      <c r="C33" t="s">
        <v>169</v>
      </c>
      <c r="D33" s="63">
        <v>4.96</v>
      </c>
      <c r="E33" s="82">
        <v>2.7671232876712328</v>
      </c>
      <c r="F33" t="s">
        <v>25</v>
      </c>
      <c r="G33" s="63">
        <v>19</v>
      </c>
    </row>
    <row r="34" spans="1:7" ht="14.4" customHeight="1" x14ac:dyDescent="0.25">
      <c r="A34" t="s">
        <v>170</v>
      </c>
      <c r="B34" t="s">
        <v>171</v>
      </c>
      <c r="C34" t="s">
        <v>172</v>
      </c>
      <c r="D34" s="63">
        <v>3.38</v>
      </c>
      <c r="E34" s="82">
        <v>0.24931506849315069</v>
      </c>
      <c r="F34">
        <v>0</v>
      </c>
      <c r="G34" s="63">
        <v>10</v>
      </c>
    </row>
    <row r="35" spans="1:7" ht="14.4" customHeight="1" x14ac:dyDescent="0.25">
      <c r="A35" t="s">
        <v>173</v>
      </c>
      <c r="B35" t="s">
        <v>174</v>
      </c>
      <c r="C35" t="s">
        <v>175</v>
      </c>
      <c r="D35" s="63">
        <v>3.55</v>
      </c>
      <c r="E35" s="82">
        <v>0.73150684931506849</v>
      </c>
      <c r="F35" t="s">
        <v>689</v>
      </c>
      <c r="G35" s="63">
        <v>18</v>
      </c>
    </row>
    <row r="36" spans="1:7" ht="14.4" customHeight="1" x14ac:dyDescent="0.25">
      <c r="A36" t="s">
        <v>176</v>
      </c>
      <c r="B36" t="s">
        <v>177</v>
      </c>
      <c r="C36" t="s">
        <v>178</v>
      </c>
      <c r="D36" s="63">
        <v>3.44</v>
      </c>
      <c r="E36" s="82">
        <v>0.13698630136986301</v>
      </c>
      <c r="F36">
        <v>0</v>
      </c>
      <c r="G36" s="63">
        <v>10</v>
      </c>
    </row>
    <row r="37" spans="1:7" ht="14.4" customHeight="1" x14ac:dyDescent="0.25">
      <c r="A37" t="s">
        <v>179</v>
      </c>
      <c r="B37" t="s">
        <v>180</v>
      </c>
      <c r="C37" t="s">
        <v>181</v>
      </c>
      <c r="D37" s="63">
        <v>5.8</v>
      </c>
      <c r="E37" s="82">
        <v>2.6931506849315068</v>
      </c>
      <c r="F37" t="s">
        <v>25</v>
      </c>
      <c r="G37" s="63">
        <v>5</v>
      </c>
    </row>
    <row r="38" spans="1:7" ht="14.4" customHeight="1" x14ac:dyDescent="0.25">
      <c r="A38" t="s">
        <v>182</v>
      </c>
      <c r="B38" t="s">
        <v>183</v>
      </c>
      <c r="C38" t="s">
        <v>184</v>
      </c>
      <c r="D38" s="63">
        <v>4.88</v>
      </c>
      <c r="E38" s="82">
        <v>0.83287671232876714</v>
      </c>
      <c r="F38" t="s">
        <v>25</v>
      </c>
      <c r="G38" s="63">
        <v>8.3000000000000007</v>
      </c>
    </row>
    <row r="39" spans="1:7" ht="14.4" customHeight="1" x14ac:dyDescent="0.25">
      <c r="A39" t="s">
        <v>185</v>
      </c>
      <c r="B39" t="s">
        <v>183</v>
      </c>
      <c r="C39" t="s">
        <v>186</v>
      </c>
      <c r="D39" s="63">
        <v>6</v>
      </c>
      <c r="E39" s="82">
        <v>0.83287671232876714</v>
      </c>
      <c r="F39" t="s">
        <v>687</v>
      </c>
      <c r="G39" s="63">
        <v>0.5</v>
      </c>
    </row>
    <row r="40" spans="1:7" ht="14.4" customHeight="1" x14ac:dyDescent="0.25">
      <c r="A40" t="s">
        <v>187</v>
      </c>
      <c r="B40" t="s">
        <v>183</v>
      </c>
      <c r="C40" t="s">
        <v>188</v>
      </c>
      <c r="D40" s="63">
        <v>7.5</v>
      </c>
      <c r="E40" s="82">
        <v>1.0767123287671232</v>
      </c>
      <c r="F40" t="s">
        <v>688</v>
      </c>
      <c r="G40" s="63">
        <v>0.31</v>
      </c>
    </row>
    <row r="41" spans="1:7" ht="14.4" customHeight="1" x14ac:dyDescent="0.25">
      <c r="A41" t="s">
        <v>189</v>
      </c>
      <c r="B41" t="s">
        <v>183</v>
      </c>
      <c r="C41" t="s">
        <v>190</v>
      </c>
      <c r="D41" s="63"/>
      <c r="E41" s="82">
        <v>2.3287671232876712</v>
      </c>
      <c r="F41">
        <v>0</v>
      </c>
      <c r="G41" s="63">
        <v>0.89</v>
      </c>
    </row>
    <row r="42" spans="1:7" ht="14.4" customHeight="1" x14ac:dyDescent="0.25">
      <c r="A42" t="s">
        <v>191</v>
      </c>
      <c r="B42" t="s">
        <v>192</v>
      </c>
      <c r="C42" t="s">
        <v>193</v>
      </c>
      <c r="D42" s="63">
        <v>3.8</v>
      </c>
      <c r="E42" s="82">
        <v>0.34520547945205482</v>
      </c>
      <c r="F42">
        <v>0</v>
      </c>
      <c r="G42" s="63">
        <v>10</v>
      </c>
    </row>
    <row r="43" spans="1:7" ht="14.4" customHeight="1" x14ac:dyDescent="0.25">
      <c r="A43" t="s">
        <v>194</v>
      </c>
      <c r="B43" t="s">
        <v>195</v>
      </c>
      <c r="C43" t="s">
        <v>196</v>
      </c>
      <c r="D43" s="63">
        <v>3.8</v>
      </c>
      <c r="E43" s="82">
        <v>0.65479452054794518</v>
      </c>
      <c r="F43" t="s">
        <v>689</v>
      </c>
      <c r="G43" s="63">
        <v>16</v>
      </c>
    </row>
    <row r="44" spans="1:7" ht="14.4" customHeight="1" x14ac:dyDescent="0.25">
      <c r="A44" t="s">
        <v>197</v>
      </c>
      <c r="B44" t="s">
        <v>198</v>
      </c>
      <c r="C44" t="s">
        <v>199</v>
      </c>
      <c r="D44" s="63">
        <v>4.4800000000000004</v>
      </c>
      <c r="E44" s="82">
        <v>2.6410958904109592</v>
      </c>
      <c r="F44" t="s">
        <v>25</v>
      </c>
      <c r="G44" s="63">
        <v>24</v>
      </c>
    </row>
    <row r="45" spans="1:7" ht="14.4" customHeight="1" x14ac:dyDescent="0.25">
      <c r="A45" t="s">
        <v>200</v>
      </c>
      <c r="B45" t="s">
        <v>198</v>
      </c>
      <c r="C45" t="s">
        <v>201</v>
      </c>
      <c r="D45" s="63">
        <v>4.7</v>
      </c>
      <c r="E45" s="82">
        <v>0.60821917808219184</v>
      </c>
      <c r="F45" t="s">
        <v>25</v>
      </c>
      <c r="G45" s="63">
        <v>3.8</v>
      </c>
    </row>
    <row r="46" spans="1:7" ht="14.4" customHeight="1" x14ac:dyDescent="0.25">
      <c r="A46" t="s">
        <v>202</v>
      </c>
      <c r="B46" t="s">
        <v>198</v>
      </c>
      <c r="C46" t="s">
        <v>203</v>
      </c>
      <c r="D46" s="63">
        <v>5</v>
      </c>
      <c r="E46" s="82">
        <v>1.6027397260273972</v>
      </c>
      <c r="F46" t="s">
        <v>25</v>
      </c>
      <c r="G46" s="63">
        <v>3</v>
      </c>
    </row>
    <row r="47" spans="1:7" ht="14.4" customHeight="1" x14ac:dyDescent="0.25">
      <c r="A47" t="s">
        <v>204</v>
      </c>
      <c r="B47" t="s">
        <v>198</v>
      </c>
      <c r="C47" t="s">
        <v>205</v>
      </c>
      <c r="D47" s="63">
        <v>5.7</v>
      </c>
      <c r="E47" s="82">
        <v>2.602739726027397</v>
      </c>
      <c r="F47" t="s">
        <v>25</v>
      </c>
      <c r="G47" s="63">
        <v>2.2999999999999998</v>
      </c>
    </row>
    <row r="48" spans="1:7" ht="14.4" customHeight="1" x14ac:dyDescent="0.25">
      <c r="A48" t="s">
        <v>206</v>
      </c>
      <c r="B48" t="s">
        <v>198</v>
      </c>
      <c r="C48" t="s">
        <v>207</v>
      </c>
      <c r="D48" s="63">
        <v>7</v>
      </c>
      <c r="E48" s="82">
        <v>3.1013698630136988</v>
      </c>
      <c r="F48" t="s">
        <v>687</v>
      </c>
      <c r="G48" s="63">
        <v>0.74</v>
      </c>
    </row>
    <row r="49" spans="1:7" ht="14.4" customHeight="1" x14ac:dyDescent="0.25">
      <c r="A49" t="s">
        <v>208</v>
      </c>
      <c r="B49" t="s">
        <v>198</v>
      </c>
      <c r="C49" t="s">
        <v>209</v>
      </c>
      <c r="D49" s="63">
        <v>7.5</v>
      </c>
      <c r="E49" s="82">
        <v>3.602739726027397</v>
      </c>
      <c r="F49" t="s">
        <v>688</v>
      </c>
      <c r="G49" s="63">
        <v>0.3</v>
      </c>
    </row>
    <row r="50" spans="1:7" ht="14.4" customHeight="1" x14ac:dyDescent="0.25">
      <c r="A50" t="s">
        <v>210</v>
      </c>
      <c r="B50" t="s">
        <v>198</v>
      </c>
      <c r="C50" t="s">
        <v>211</v>
      </c>
      <c r="D50" s="63"/>
      <c r="E50" s="82">
        <v>4.602739726027397</v>
      </c>
      <c r="F50">
        <v>0</v>
      </c>
      <c r="G50" s="63">
        <v>0.75305</v>
      </c>
    </row>
    <row r="51" spans="1:7" ht="14.4" customHeight="1" x14ac:dyDescent="0.25">
      <c r="A51" t="s">
        <v>212</v>
      </c>
      <c r="B51" t="s">
        <v>213</v>
      </c>
      <c r="C51" t="s">
        <v>214</v>
      </c>
      <c r="D51" s="63">
        <v>3.79</v>
      </c>
      <c r="E51" s="82">
        <v>0.37534246575342467</v>
      </c>
      <c r="F51">
        <v>0</v>
      </c>
      <c r="G51" s="63">
        <v>10</v>
      </c>
    </row>
    <row r="52" spans="1:7" ht="14.4" customHeight="1" x14ac:dyDescent="0.25">
      <c r="A52" t="s">
        <v>215</v>
      </c>
      <c r="B52" t="s">
        <v>216</v>
      </c>
      <c r="C52" t="s">
        <v>217</v>
      </c>
      <c r="D52" s="63">
        <v>7</v>
      </c>
      <c r="E52" s="82">
        <v>2.6191780821917807</v>
      </c>
      <c r="F52">
        <v>0</v>
      </c>
      <c r="G52" s="63">
        <v>10</v>
      </c>
    </row>
    <row r="53" spans="1:7" ht="14.4" customHeight="1" x14ac:dyDescent="0.25">
      <c r="A53" t="s">
        <v>218</v>
      </c>
      <c r="B53" t="s">
        <v>219</v>
      </c>
      <c r="C53" t="s">
        <v>220</v>
      </c>
      <c r="D53" s="63">
        <v>5</v>
      </c>
      <c r="E53" s="82">
        <v>1.6109589041095891</v>
      </c>
      <c r="F53" t="s">
        <v>25</v>
      </c>
      <c r="G53" s="63">
        <v>5.9</v>
      </c>
    </row>
    <row r="54" spans="1:7" ht="14.4" customHeight="1" x14ac:dyDescent="0.25">
      <c r="A54" t="s">
        <v>221</v>
      </c>
      <c r="B54" t="s">
        <v>222</v>
      </c>
      <c r="C54" t="s">
        <v>223</v>
      </c>
      <c r="D54" s="63">
        <v>5.2</v>
      </c>
      <c r="E54" s="82">
        <v>1.5726027397260274</v>
      </c>
      <c r="F54">
        <v>0</v>
      </c>
      <c r="G54" s="63">
        <v>3</v>
      </c>
    </row>
    <row r="55" spans="1:7" ht="14.4" customHeight="1" x14ac:dyDescent="0.25">
      <c r="A55" t="s">
        <v>224</v>
      </c>
      <c r="B55" t="s">
        <v>225</v>
      </c>
      <c r="C55" t="s">
        <v>226</v>
      </c>
      <c r="D55" s="63">
        <v>5.95</v>
      </c>
      <c r="E55" s="82">
        <v>2.4986301369863013</v>
      </c>
      <c r="F55" t="s">
        <v>25</v>
      </c>
      <c r="G55" s="63">
        <v>17.399999999999999</v>
      </c>
    </row>
    <row r="56" spans="1:7" ht="14.4" customHeight="1" x14ac:dyDescent="0.25">
      <c r="A56" t="s">
        <v>227</v>
      </c>
      <c r="B56" t="s">
        <v>228</v>
      </c>
      <c r="C56" t="s">
        <v>229</v>
      </c>
      <c r="D56" s="63">
        <v>3.79</v>
      </c>
      <c r="E56" s="82">
        <v>0.16712328767123288</v>
      </c>
      <c r="F56">
        <v>0</v>
      </c>
      <c r="G56" s="63">
        <v>6</v>
      </c>
    </row>
    <row r="57" spans="1:7" ht="14.4" customHeight="1" x14ac:dyDescent="0.25">
      <c r="A57" t="s">
        <v>230</v>
      </c>
      <c r="B57" t="s">
        <v>231</v>
      </c>
      <c r="C57" t="s">
        <v>232</v>
      </c>
      <c r="D57" s="63">
        <v>3.92</v>
      </c>
      <c r="E57" s="82">
        <v>0.22191780821917809</v>
      </c>
      <c r="F57">
        <v>0</v>
      </c>
      <c r="G57" s="63">
        <v>9</v>
      </c>
    </row>
    <row r="58" spans="1:7" ht="14.4" customHeight="1" x14ac:dyDescent="0.25">
      <c r="A58" t="s">
        <v>233</v>
      </c>
      <c r="B58" t="s">
        <v>234</v>
      </c>
      <c r="C58" t="s">
        <v>235</v>
      </c>
      <c r="D58" s="63">
        <v>5.15</v>
      </c>
      <c r="E58" s="82">
        <v>0.4</v>
      </c>
      <c r="F58">
        <v>0</v>
      </c>
      <c r="G58" s="63">
        <v>4.3</v>
      </c>
    </row>
    <row r="59" spans="1:7" ht="14.4" customHeight="1" x14ac:dyDescent="0.25">
      <c r="A59" t="s">
        <v>236</v>
      </c>
      <c r="B59" t="s">
        <v>234</v>
      </c>
      <c r="C59" t="s">
        <v>237</v>
      </c>
      <c r="D59" s="63">
        <v>5.3</v>
      </c>
      <c r="E59" s="82">
        <v>1.3972602739726028</v>
      </c>
      <c r="F59">
        <v>0</v>
      </c>
      <c r="G59" s="63">
        <v>2.7</v>
      </c>
    </row>
    <row r="60" spans="1:7" ht="14.4" customHeight="1" x14ac:dyDescent="0.25">
      <c r="A60" t="s">
        <v>238</v>
      </c>
      <c r="B60" t="s">
        <v>234</v>
      </c>
      <c r="C60" t="s">
        <v>239</v>
      </c>
      <c r="D60" s="63">
        <v>6.1</v>
      </c>
      <c r="E60" s="82">
        <v>2.3945205479452056</v>
      </c>
      <c r="F60">
        <v>0</v>
      </c>
      <c r="G60" s="63">
        <v>1.8620000000000001</v>
      </c>
    </row>
    <row r="61" spans="1:7" ht="14.4" customHeight="1" x14ac:dyDescent="0.25">
      <c r="A61" t="s">
        <v>240</v>
      </c>
      <c r="B61" t="s">
        <v>234</v>
      </c>
      <c r="C61" t="s">
        <v>241</v>
      </c>
      <c r="D61" s="63">
        <v>7.5</v>
      </c>
      <c r="E61" s="82">
        <v>3.1452054794520548</v>
      </c>
      <c r="F61">
        <v>0</v>
      </c>
      <c r="G61" s="63">
        <v>0.99</v>
      </c>
    </row>
    <row r="62" spans="1:7" ht="14.4" customHeight="1" x14ac:dyDescent="0.25">
      <c r="A62" t="s">
        <v>242</v>
      </c>
      <c r="B62" t="s">
        <v>234</v>
      </c>
      <c r="C62" t="s">
        <v>243</v>
      </c>
      <c r="D62" s="63"/>
      <c r="E62" s="82">
        <v>4.1424657534246574</v>
      </c>
      <c r="F62">
        <v>0</v>
      </c>
      <c r="G62" s="63">
        <v>0.74012999999999995</v>
      </c>
    </row>
    <row r="63" spans="1:7" ht="14.4" customHeight="1" x14ac:dyDescent="0.25">
      <c r="A63" t="s">
        <v>244</v>
      </c>
      <c r="B63" t="s">
        <v>245</v>
      </c>
      <c r="C63" t="s">
        <v>246</v>
      </c>
      <c r="D63" s="63">
        <v>3.92</v>
      </c>
      <c r="E63" s="82">
        <v>0.10410958904109589</v>
      </c>
      <c r="F63">
        <v>0</v>
      </c>
      <c r="G63" s="63">
        <v>10</v>
      </c>
    </row>
    <row r="64" spans="1:7" ht="14.4" customHeight="1" x14ac:dyDescent="0.25">
      <c r="A64" t="s">
        <v>247</v>
      </c>
      <c r="B64" t="s">
        <v>248</v>
      </c>
      <c r="C64" t="s">
        <v>249</v>
      </c>
      <c r="D64" s="63">
        <v>3.82</v>
      </c>
      <c r="E64" s="82">
        <v>5.4794520547945206E-3</v>
      </c>
      <c r="F64">
        <v>0</v>
      </c>
      <c r="G64" s="63">
        <v>5</v>
      </c>
    </row>
    <row r="65" spans="1:7" ht="14.4" customHeight="1" x14ac:dyDescent="0.25">
      <c r="A65" t="s">
        <v>250</v>
      </c>
      <c r="B65" t="s">
        <v>251</v>
      </c>
      <c r="C65" t="s">
        <v>252</v>
      </c>
      <c r="D65" s="63">
        <v>6.08</v>
      </c>
      <c r="E65" s="82">
        <v>2.4109589041095889</v>
      </c>
      <c r="F65" t="s">
        <v>25</v>
      </c>
      <c r="G65" s="63">
        <v>17.399999999999999</v>
      </c>
    </row>
    <row r="66" spans="1:7" ht="14.4" customHeight="1" x14ac:dyDescent="0.25">
      <c r="A66" t="s">
        <v>253</v>
      </c>
      <c r="B66" t="s">
        <v>254</v>
      </c>
      <c r="C66" t="s">
        <v>255</v>
      </c>
      <c r="D66" s="63">
        <v>3.9</v>
      </c>
      <c r="E66" s="82">
        <v>0.14246575342465753</v>
      </c>
      <c r="F66">
        <v>0</v>
      </c>
      <c r="G66" s="63">
        <v>10</v>
      </c>
    </row>
    <row r="67" spans="1:7" ht="14.4" customHeight="1" x14ac:dyDescent="0.25">
      <c r="A67" t="s">
        <v>256</v>
      </c>
      <c r="B67" t="s">
        <v>257</v>
      </c>
      <c r="C67" t="s">
        <v>258</v>
      </c>
      <c r="D67" s="63">
        <v>3.7</v>
      </c>
      <c r="E67" s="82">
        <v>0</v>
      </c>
      <c r="F67">
        <v>0</v>
      </c>
      <c r="G67" s="63">
        <v>5</v>
      </c>
    </row>
    <row r="68" spans="1:7" ht="14.4" customHeight="1" x14ac:dyDescent="0.25">
      <c r="A68" t="s">
        <v>259</v>
      </c>
      <c r="B68" t="s">
        <v>260</v>
      </c>
      <c r="C68" t="s">
        <v>261</v>
      </c>
      <c r="D68" s="63">
        <v>2.9</v>
      </c>
      <c r="E68" s="82">
        <v>0</v>
      </c>
      <c r="F68">
        <v>0</v>
      </c>
      <c r="G68" s="63">
        <v>5</v>
      </c>
    </row>
    <row r="69" spans="1:7" ht="14.4" customHeight="1" x14ac:dyDescent="0.25">
      <c r="A69" t="s">
        <v>262</v>
      </c>
      <c r="B69" t="s">
        <v>263</v>
      </c>
      <c r="C69" t="s">
        <v>264</v>
      </c>
      <c r="D69" s="63">
        <v>6.08</v>
      </c>
      <c r="E69" s="82">
        <v>2.3808219178082193</v>
      </c>
      <c r="F69">
        <v>0</v>
      </c>
      <c r="G69" s="63">
        <v>5.08</v>
      </c>
    </row>
    <row r="70" spans="1:7" ht="14.4" customHeight="1" x14ac:dyDescent="0.25">
      <c r="A70" t="s">
        <v>265</v>
      </c>
      <c r="B70" t="s">
        <v>266</v>
      </c>
      <c r="C70" t="s">
        <v>267</v>
      </c>
      <c r="D70" s="63">
        <v>6</v>
      </c>
      <c r="E70" s="82">
        <v>1.8465753424657534</v>
      </c>
      <c r="F70" t="s">
        <v>25</v>
      </c>
      <c r="G70" s="63">
        <v>12.53</v>
      </c>
    </row>
    <row r="71" spans="1:7" ht="14.4" customHeight="1" x14ac:dyDescent="0.25">
      <c r="A71" t="s">
        <v>268</v>
      </c>
      <c r="B71" t="s">
        <v>266</v>
      </c>
      <c r="C71" t="s">
        <v>269</v>
      </c>
      <c r="D71" s="63">
        <v>7</v>
      </c>
      <c r="E71" s="82">
        <v>2.3424657534246576</v>
      </c>
      <c r="F71" t="s">
        <v>687</v>
      </c>
      <c r="G71" s="63">
        <v>0.9</v>
      </c>
    </row>
    <row r="72" spans="1:7" ht="14.4" customHeight="1" x14ac:dyDescent="0.25">
      <c r="A72" t="s">
        <v>270</v>
      </c>
      <c r="B72" t="s">
        <v>266</v>
      </c>
      <c r="C72" t="s">
        <v>271</v>
      </c>
      <c r="D72" s="63">
        <v>7.5</v>
      </c>
      <c r="E72" s="82">
        <v>2.8465753424657532</v>
      </c>
      <c r="F72" t="s">
        <v>688</v>
      </c>
      <c r="G72" s="63">
        <v>0.75</v>
      </c>
    </row>
    <row r="73" spans="1:7" ht="14.4" customHeight="1" x14ac:dyDescent="0.25">
      <c r="A73" t="s">
        <v>272</v>
      </c>
      <c r="B73" t="s">
        <v>266</v>
      </c>
      <c r="C73" t="s">
        <v>273</v>
      </c>
      <c r="D73" s="63"/>
      <c r="E73" s="82">
        <v>3.8465753424657532</v>
      </c>
      <c r="F73">
        <v>0</v>
      </c>
      <c r="G73" s="63">
        <v>0.91</v>
      </c>
    </row>
    <row r="74" spans="1:7" ht="14.4" customHeight="1" x14ac:dyDescent="0.25">
      <c r="A74" t="s">
        <v>274</v>
      </c>
      <c r="B74" t="s">
        <v>275</v>
      </c>
      <c r="C74" t="s">
        <v>276</v>
      </c>
      <c r="D74" s="63">
        <v>3.9</v>
      </c>
      <c r="E74" s="82">
        <v>0</v>
      </c>
      <c r="F74">
        <v>0</v>
      </c>
      <c r="G74" s="63">
        <v>5</v>
      </c>
    </row>
    <row r="75" spans="1:7" ht="14.4" customHeight="1" x14ac:dyDescent="0.25">
      <c r="A75" t="s">
        <v>277</v>
      </c>
      <c r="B75" t="s">
        <v>278</v>
      </c>
      <c r="C75" t="s">
        <v>279</v>
      </c>
      <c r="D75" s="63">
        <v>5.73</v>
      </c>
      <c r="E75" s="82">
        <v>1.3506849315068492</v>
      </c>
      <c r="F75">
        <v>0</v>
      </c>
      <c r="G75" s="63">
        <v>10</v>
      </c>
    </row>
    <row r="76" spans="1:7" ht="14.4" customHeight="1" x14ac:dyDescent="0.25">
      <c r="A76" t="s">
        <v>280</v>
      </c>
      <c r="B76" t="s">
        <v>281</v>
      </c>
      <c r="C76" t="s">
        <v>282</v>
      </c>
      <c r="D76" s="63">
        <v>5.88</v>
      </c>
      <c r="E76" s="82">
        <v>2.3260273972602739</v>
      </c>
      <c r="F76">
        <v>0</v>
      </c>
      <c r="G76" s="63">
        <v>12</v>
      </c>
    </row>
    <row r="77" spans="1:7" ht="14.4" customHeight="1" x14ac:dyDescent="0.25">
      <c r="A77" t="s">
        <v>283</v>
      </c>
      <c r="B77" t="s">
        <v>284</v>
      </c>
      <c r="C77" t="s">
        <v>285</v>
      </c>
      <c r="D77" s="63">
        <v>2.7</v>
      </c>
      <c r="E77" s="82">
        <v>0</v>
      </c>
      <c r="F77">
        <v>0</v>
      </c>
      <c r="G77" s="63">
        <v>5</v>
      </c>
    </row>
    <row r="78" spans="1:7" ht="14.4" customHeight="1" x14ac:dyDescent="0.25">
      <c r="A78" t="s">
        <v>286</v>
      </c>
      <c r="B78" t="s">
        <v>287</v>
      </c>
      <c r="C78" t="s">
        <v>288</v>
      </c>
      <c r="D78" s="63">
        <v>5.3</v>
      </c>
      <c r="E78" s="82">
        <v>0.28767123287671231</v>
      </c>
      <c r="F78">
        <v>0</v>
      </c>
      <c r="G78" s="63">
        <v>15</v>
      </c>
    </row>
    <row r="79" spans="1:7" ht="14.4" customHeight="1" x14ac:dyDescent="0.25">
      <c r="A79" t="s">
        <v>289</v>
      </c>
      <c r="B79" t="s">
        <v>290</v>
      </c>
      <c r="C79" t="s">
        <v>291</v>
      </c>
      <c r="D79" s="63">
        <v>5.99</v>
      </c>
      <c r="E79" s="82">
        <v>2.2465753424657535</v>
      </c>
      <c r="F79" t="s">
        <v>25</v>
      </c>
      <c r="G79" s="63">
        <v>9.6</v>
      </c>
    </row>
    <row r="80" spans="1:7" ht="14.4" customHeight="1" x14ac:dyDescent="0.25">
      <c r="A80" t="s">
        <v>292</v>
      </c>
      <c r="B80" t="s">
        <v>293</v>
      </c>
      <c r="C80" t="s">
        <v>294</v>
      </c>
      <c r="D80" s="63">
        <v>4.49</v>
      </c>
      <c r="E80" s="82">
        <v>0</v>
      </c>
      <c r="F80">
        <v>0</v>
      </c>
      <c r="G80" s="63">
        <v>10</v>
      </c>
    </row>
    <row r="81" spans="1:7" ht="14.4" customHeight="1" x14ac:dyDescent="0.25">
      <c r="A81" t="s">
        <v>295</v>
      </c>
      <c r="B81" t="s">
        <v>296</v>
      </c>
      <c r="C81" t="s">
        <v>297</v>
      </c>
      <c r="D81" s="63">
        <v>6.09</v>
      </c>
      <c r="E81" s="82">
        <v>1.9153005464480874</v>
      </c>
      <c r="F81" t="s">
        <v>25</v>
      </c>
      <c r="G81" s="63">
        <v>16.37</v>
      </c>
    </row>
    <row r="82" spans="1:7" ht="14.4" customHeight="1" x14ac:dyDescent="0.25">
      <c r="A82" t="s">
        <v>298</v>
      </c>
      <c r="B82" t="s">
        <v>296</v>
      </c>
      <c r="C82" t="s">
        <v>299</v>
      </c>
      <c r="D82" s="63"/>
      <c r="E82" s="82">
        <v>3.6739726027397261</v>
      </c>
      <c r="F82">
        <v>0</v>
      </c>
      <c r="G82" s="63">
        <v>1.22</v>
      </c>
    </row>
    <row r="83" spans="1:7" ht="14.4" customHeight="1" x14ac:dyDescent="0.25">
      <c r="A83" t="s">
        <v>300</v>
      </c>
      <c r="B83" t="s">
        <v>296</v>
      </c>
      <c r="C83" t="s">
        <v>301</v>
      </c>
      <c r="D83" s="63">
        <v>7</v>
      </c>
      <c r="E83" s="82">
        <v>2.1945205479452055</v>
      </c>
      <c r="F83">
        <v>0</v>
      </c>
      <c r="G83" s="63">
        <v>10</v>
      </c>
    </row>
    <row r="84" spans="1:7" ht="14.4" customHeight="1" x14ac:dyDescent="0.25">
      <c r="A84" t="s">
        <v>302</v>
      </c>
      <c r="B84" t="s">
        <v>303</v>
      </c>
      <c r="C84" t="s">
        <v>304</v>
      </c>
      <c r="D84" s="63">
        <v>4.9400000000000004</v>
      </c>
      <c r="E84" s="82">
        <v>0</v>
      </c>
      <c r="F84">
        <v>0</v>
      </c>
      <c r="G84" s="63">
        <v>5</v>
      </c>
    </row>
    <row r="85" spans="1:7" ht="14.4" customHeight="1" x14ac:dyDescent="0.25">
      <c r="A85" t="s">
        <v>305</v>
      </c>
      <c r="B85" t="s">
        <v>306</v>
      </c>
      <c r="C85" t="s">
        <v>307</v>
      </c>
      <c r="D85" s="63">
        <v>6.4</v>
      </c>
      <c r="E85" s="82">
        <v>2.1616438356164385</v>
      </c>
      <c r="F85">
        <v>0</v>
      </c>
      <c r="G85" s="63">
        <v>10</v>
      </c>
    </row>
    <row r="86" spans="1:7" ht="14.4" customHeight="1" x14ac:dyDescent="0.25">
      <c r="A86" t="s">
        <v>308</v>
      </c>
      <c r="B86" t="s">
        <v>309</v>
      </c>
      <c r="C86" t="s">
        <v>310</v>
      </c>
      <c r="D86" s="63">
        <v>6.2</v>
      </c>
      <c r="E86" s="82">
        <v>4.1561643835616442</v>
      </c>
      <c r="F86" t="s">
        <v>25</v>
      </c>
      <c r="G86" s="63">
        <v>10</v>
      </c>
    </row>
    <row r="87" spans="1:7" ht="14.4" customHeight="1" x14ac:dyDescent="0.25">
      <c r="A87" t="s">
        <v>311</v>
      </c>
      <c r="B87" t="s">
        <v>312</v>
      </c>
      <c r="C87" t="s">
        <v>313</v>
      </c>
      <c r="D87" s="63">
        <v>5.8</v>
      </c>
      <c r="E87" s="82">
        <v>0.28493150684931506</v>
      </c>
      <c r="F87" t="s">
        <v>25</v>
      </c>
      <c r="G87" s="63">
        <v>8.4</v>
      </c>
    </row>
    <row r="88" spans="1:7" ht="14.4" customHeight="1" x14ac:dyDescent="0.25">
      <c r="A88" t="s">
        <v>314</v>
      </c>
      <c r="B88" t="s">
        <v>312</v>
      </c>
      <c r="C88" t="s">
        <v>315</v>
      </c>
      <c r="D88" s="63">
        <v>7</v>
      </c>
      <c r="E88" s="82">
        <v>0.53698630136986303</v>
      </c>
      <c r="F88" t="s">
        <v>687</v>
      </c>
      <c r="G88" s="63">
        <v>0.5</v>
      </c>
    </row>
    <row r="89" spans="1:7" ht="14.4" customHeight="1" x14ac:dyDescent="0.25">
      <c r="A89" t="s">
        <v>316</v>
      </c>
      <c r="B89" t="s">
        <v>312</v>
      </c>
      <c r="C89" t="s">
        <v>317</v>
      </c>
      <c r="D89" s="63">
        <v>7.4</v>
      </c>
      <c r="E89" s="82">
        <v>0.78904109589041094</v>
      </c>
      <c r="F89" t="s">
        <v>688</v>
      </c>
      <c r="G89" s="63">
        <v>0.5</v>
      </c>
    </row>
    <row r="90" spans="1:7" ht="14.4" customHeight="1" x14ac:dyDescent="0.25">
      <c r="A90" t="s">
        <v>318</v>
      </c>
      <c r="B90" t="s">
        <v>312</v>
      </c>
      <c r="C90" t="s">
        <v>319</v>
      </c>
      <c r="D90" s="63"/>
      <c r="E90" s="82">
        <v>1.0356164383561643</v>
      </c>
      <c r="F90">
        <v>0</v>
      </c>
      <c r="G90" s="63">
        <v>0.6</v>
      </c>
    </row>
    <row r="91" spans="1:7" ht="14.4" customHeight="1" x14ac:dyDescent="0.25">
      <c r="A91" t="s">
        <v>320</v>
      </c>
      <c r="B91" t="s">
        <v>321</v>
      </c>
      <c r="C91" t="s">
        <v>322</v>
      </c>
      <c r="D91" s="63">
        <v>4.74</v>
      </c>
      <c r="E91" s="82">
        <v>0</v>
      </c>
      <c r="F91">
        <v>0</v>
      </c>
      <c r="G91" s="63">
        <v>15</v>
      </c>
    </row>
    <row r="92" spans="1:7" ht="14.4" customHeight="1" x14ac:dyDescent="0.25">
      <c r="A92" t="s">
        <v>323</v>
      </c>
      <c r="B92" t="s">
        <v>324</v>
      </c>
      <c r="C92" t="s">
        <v>325</v>
      </c>
      <c r="D92" s="63">
        <v>6</v>
      </c>
      <c r="E92" s="82">
        <v>4.0739726027397261</v>
      </c>
      <c r="F92" t="s">
        <v>25</v>
      </c>
      <c r="G92" s="63">
        <v>17.100000000000001</v>
      </c>
    </row>
    <row r="93" spans="1:7" ht="14.4" customHeight="1" x14ac:dyDescent="0.25">
      <c r="A93" t="s">
        <v>326</v>
      </c>
      <c r="B93" t="s">
        <v>327</v>
      </c>
      <c r="C93" t="s">
        <v>328</v>
      </c>
      <c r="D93" s="63">
        <v>4.82</v>
      </c>
      <c r="E93" s="82">
        <v>2.4657534246575342E-2</v>
      </c>
      <c r="F93" t="s">
        <v>689</v>
      </c>
      <c r="G93" s="63">
        <v>15</v>
      </c>
    </row>
    <row r="94" spans="1:7" ht="14.4" customHeight="1" x14ac:dyDescent="0.25">
      <c r="A94" t="s">
        <v>329</v>
      </c>
      <c r="B94" t="s">
        <v>330</v>
      </c>
      <c r="C94" t="s">
        <v>331</v>
      </c>
      <c r="D94" s="63">
        <v>4.49</v>
      </c>
      <c r="E94" s="82">
        <v>5.4794520547945206E-3</v>
      </c>
      <c r="F94" t="s">
        <v>689</v>
      </c>
      <c r="G94" s="63">
        <v>15</v>
      </c>
    </row>
    <row r="95" spans="1:7" ht="14.4" customHeight="1" x14ac:dyDescent="0.25">
      <c r="A95" t="s">
        <v>332</v>
      </c>
      <c r="B95" t="s">
        <v>333</v>
      </c>
      <c r="C95" t="s">
        <v>334</v>
      </c>
      <c r="D95" s="63">
        <v>4.57</v>
      </c>
      <c r="E95" s="82">
        <v>0</v>
      </c>
      <c r="F95">
        <v>0</v>
      </c>
      <c r="G95" s="63">
        <v>5</v>
      </c>
    </row>
    <row r="96" spans="1:7" ht="14.4" customHeight="1" x14ac:dyDescent="0.25">
      <c r="A96" t="s">
        <v>335</v>
      </c>
      <c r="B96" t="s">
        <v>336</v>
      </c>
      <c r="C96" t="s">
        <v>337</v>
      </c>
      <c r="D96" s="63"/>
      <c r="E96" s="82">
        <v>0.69589041095890414</v>
      </c>
      <c r="F96">
        <v>0</v>
      </c>
      <c r="G96" s="63">
        <v>9.3000000000000007</v>
      </c>
    </row>
    <row r="97" spans="1:7" ht="14.4" customHeight="1" x14ac:dyDescent="0.25">
      <c r="A97" t="s">
        <v>338</v>
      </c>
      <c r="B97" t="s">
        <v>336</v>
      </c>
      <c r="C97" t="s">
        <v>339</v>
      </c>
      <c r="D97" s="63">
        <v>7.5</v>
      </c>
      <c r="E97" s="82">
        <v>0.94262295081967218</v>
      </c>
      <c r="F97">
        <v>0</v>
      </c>
      <c r="G97" s="63">
        <v>0.65</v>
      </c>
    </row>
    <row r="98" spans="1:7" ht="14.4" customHeight="1" x14ac:dyDescent="0.25">
      <c r="A98" t="s">
        <v>340</v>
      </c>
      <c r="B98" t="s">
        <v>336</v>
      </c>
      <c r="C98" t="s">
        <v>341</v>
      </c>
      <c r="D98" s="63">
        <v>7.5</v>
      </c>
      <c r="E98" s="82">
        <v>0.94262295081967218</v>
      </c>
      <c r="F98">
        <v>0</v>
      </c>
      <c r="G98" s="63">
        <v>0.37</v>
      </c>
    </row>
    <row r="99" spans="1:7" ht="14.4" customHeight="1" x14ac:dyDescent="0.25">
      <c r="A99" t="s">
        <v>342</v>
      </c>
      <c r="B99" t="s">
        <v>336</v>
      </c>
      <c r="C99" t="s">
        <v>343</v>
      </c>
      <c r="D99" s="63"/>
      <c r="E99" s="82">
        <v>3.1972602739726028</v>
      </c>
      <c r="F99">
        <v>0</v>
      </c>
      <c r="G99" s="63">
        <v>0.73724999999999996</v>
      </c>
    </row>
    <row r="100" spans="1:7" ht="14.4" customHeight="1" x14ac:dyDescent="0.25">
      <c r="A100" t="s">
        <v>344</v>
      </c>
      <c r="B100" t="s">
        <v>345</v>
      </c>
      <c r="C100" t="s">
        <v>346</v>
      </c>
      <c r="D100" s="63">
        <v>6.29</v>
      </c>
      <c r="E100" s="82">
        <v>1.9890710382513661</v>
      </c>
      <c r="F100" t="s">
        <v>25</v>
      </c>
      <c r="G100" s="63">
        <v>22.6</v>
      </c>
    </row>
    <row r="101" spans="1:7" ht="14.4" customHeight="1" x14ac:dyDescent="0.25">
      <c r="A101" t="s">
        <v>347</v>
      </c>
      <c r="B101" t="s">
        <v>348</v>
      </c>
      <c r="C101" t="s">
        <v>349</v>
      </c>
      <c r="D101" s="63">
        <v>4.5</v>
      </c>
      <c r="E101" s="82">
        <v>0</v>
      </c>
      <c r="F101">
        <v>0</v>
      </c>
      <c r="G101" s="63">
        <v>10</v>
      </c>
    </row>
    <row r="102" spans="1:7" ht="14.4" customHeight="1" x14ac:dyDescent="0.25">
      <c r="A102" t="s">
        <v>350</v>
      </c>
      <c r="B102" t="s">
        <v>351</v>
      </c>
      <c r="C102" t="s">
        <v>352</v>
      </c>
      <c r="D102" s="63">
        <v>5.08</v>
      </c>
      <c r="E102" s="82">
        <v>0</v>
      </c>
      <c r="F102">
        <v>0</v>
      </c>
      <c r="G102" s="63">
        <v>5</v>
      </c>
    </row>
    <row r="103" spans="1:7" ht="14.4" customHeight="1" x14ac:dyDescent="0.25">
      <c r="A103" t="s">
        <v>353</v>
      </c>
      <c r="B103" t="s">
        <v>351</v>
      </c>
      <c r="C103" t="s">
        <v>354</v>
      </c>
      <c r="D103" s="63">
        <v>6</v>
      </c>
      <c r="E103" s="82">
        <v>1.9234972677595628</v>
      </c>
      <c r="F103">
        <v>0</v>
      </c>
      <c r="G103" s="63">
        <v>10</v>
      </c>
    </row>
    <row r="104" spans="1:7" ht="14.4" customHeight="1" x14ac:dyDescent="0.25">
      <c r="A104" t="s">
        <v>355</v>
      </c>
      <c r="B104" t="s">
        <v>356</v>
      </c>
      <c r="C104" t="s">
        <v>357</v>
      </c>
      <c r="D104" s="63">
        <v>5.2</v>
      </c>
      <c r="E104" s="82">
        <v>0</v>
      </c>
      <c r="F104">
        <v>0</v>
      </c>
      <c r="G104" s="63">
        <v>5</v>
      </c>
    </row>
    <row r="105" spans="1:7" ht="14.4" customHeight="1" x14ac:dyDescent="0.25">
      <c r="A105" t="s">
        <v>358</v>
      </c>
      <c r="B105" t="s">
        <v>359</v>
      </c>
      <c r="C105" t="s">
        <v>360</v>
      </c>
      <c r="D105" s="63">
        <v>5</v>
      </c>
      <c r="E105" s="82">
        <v>0</v>
      </c>
      <c r="F105">
        <v>0</v>
      </c>
      <c r="G105" s="63">
        <v>10</v>
      </c>
    </row>
    <row r="106" spans="1:7" ht="14.4" customHeight="1" x14ac:dyDescent="0.25">
      <c r="A106" t="s">
        <v>361</v>
      </c>
      <c r="B106" t="s">
        <v>362</v>
      </c>
      <c r="C106" t="s">
        <v>363</v>
      </c>
      <c r="D106" s="63">
        <v>6.25</v>
      </c>
      <c r="E106" s="82">
        <v>1.8684931506849316</v>
      </c>
      <c r="F106">
        <v>0</v>
      </c>
      <c r="G106" s="63">
        <v>15</v>
      </c>
    </row>
    <row r="107" spans="1:7" ht="14.4" customHeight="1" x14ac:dyDescent="0.25">
      <c r="A107" t="s">
        <v>364</v>
      </c>
      <c r="B107" t="s">
        <v>365</v>
      </c>
      <c r="C107" t="s">
        <v>366</v>
      </c>
      <c r="D107" s="63">
        <v>5.18</v>
      </c>
      <c r="E107" s="82">
        <v>0</v>
      </c>
      <c r="F107">
        <v>0</v>
      </c>
      <c r="G107" s="63">
        <v>10</v>
      </c>
    </row>
    <row r="108" spans="1:7" ht="14.4" customHeight="1" x14ac:dyDescent="0.25">
      <c r="A108" t="s">
        <v>367</v>
      </c>
      <c r="B108" t="s">
        <v>368</v>
      </c>
      <c r="C108" t="s">
        <v>369</v>
      </c>
      <c r="D108" s="63">
        <v>5.7</v>
      </c>
      <c r="E108" s="82">
        <v>0</v>
      </c>
      <c r="F108" t="s">
        <v>25</v>
      </c>
      <c r="G108" s="63">
        <v>4.2610000000000001</v>
      </c>
    </row>
    <row r="109" spans="1:7" ht="14.4" customHeight="1" x14ac:dyDescent="0.25">
      <c r="A109" t="s">
        <v>370</v>
      </c>
      <c r="B109" t="s">
        <v>368</v>
      </c>
      <c r="C109" t="s">
        <v>371</v>
      </c>
      <c r="D109" s="63">
        <v>6.5</v>
      </c>
      <c r="E109" s="82">
        <v>2.3095890410958906</v>
      </c>
      <c r="F109" t="s">
        <v>25</v>
      </c>
      <c r="G109" s="63">
        <v>11.446999999999999</v>
      </c>
    </row>
    <row r="110" spans="1:7" ht="14.4" customHeight="1" x14ac:dyDescent="0.25">
      <c r="A110" t="s">
        <v>372</v>
      </c>
      <c r="B110" t="s">
        <v>368</v>
      </c>
      <c r="C110" t="s">
        <v>373</v>
      </c>
      <c r="D110" s="63">
        <v>7.5</v>
      </c>
      <c r="E110" s="82">
        <v>3.3095890410958906</v>
      </c>
      <c r="F110" t="s">
        <v>688</v>
      </c>
      <c r="G110" s="63">
        <v>2.1269999999999998</v>
      </c>
    </row>
    <row r="111" spans="1:7" ht="14.4" customHeight="1" x14ac:dyDescent="0.25">
      <c r="A111" t="s">
        <v>374</v>
      </c>
      <c r="B111" t="s">
        <v>368</v>
      </c>
      <c r="C111" t="s">
        <v>375</v>
      </c>
      <c r="D111" s="63"/>
      <c r="E111" s="82">
        <v>3.5616438356164384</v>
      </c>
      <c r="F111">
        <v>0</v>
      </c>
      <c r="G111" s="63">
        <v>1.1351</v>
      </c>
    </row>
    <row r="112" spans="1:7" ht="14.4" customHeight="1" x14ac:dyDescent="0.25">
      <c r="A112" t="s">
        <v>376</v>
      </c>
      <c r="B112" t="s">
        <v>377</v>
      </c>
      <c r="C112" t="s">
        <v>378</v>
      </c>
      <c r="D112" s="63">
        <v>6.24</v>
      </c>
      <c r="E112" s="82">
        <v>1.9945355191256831</v>
      </c>
      <c r="F112" t="s">
        <v>25</v>
      </c>
      <c r="G112" s="63">
        <v>25.4</v>
      </c>
    </row>
    <row r="113" spans="1:7" ht="14.4" customHeight="1" x14ac:dyDescent="0.25">
      <c r="A113" t="s">
        <v>379</v>
      </c>
      <c r="B113" t="s">
        <v>377</v>
      </c>
      <c r="C113" t="s">
        <v>380</v>
      </c>
      <c r="D113" s="63">
        <v>7.5</v>
      </c>
      <c r="E113" s="82">
        <v>2.2438356164383562</v>
      </c>
      <c r="F113" t="s">
        <v>687</v>
      </c>
      <c r="G113" s="63">
        <v>1.25</v>
      </c>
    </row>
    <row r="114" spans="1:7" ht="14.4" customHeight="1" x14ac:dyDescent="0.25">
      <c r="A114" t="s">
        <v>381</v>
      </c>
      <c r="B114" t="s">
        <v>377</v>
      </c>
      <c r="C114" t="s">
        <v>382</v>
      </c>
      <c r="D114" s="63"/>
      <c r="E114" s="82">
        <v>3.7479452054794522</v>
      </c>
      <c r="F114">
        <v>0</v>
      </c>
      <c r="G114" s="63">
        <v>1.5919000000000001</v>
      </c>
    </row>
    <row r="115" spans="1:7" ht="14.4" customHeight="1" x14ac:dyDescent="0.25">
      <c r="A115" t="s">
        <v>383</v>
      </c>
      <c r="B115" t="s">
        <v>384</v>
      </c>
      <c r="C115" t="s">
        <v>385</v>
      </c>
      <c r="D115" s="63">
        <v>6</v>
      </c>
      <c r="E115" s="82">
        <v>0</v>
      </c>
      <c r="F115" t="s">
        <v>25</v>
      </c>
      <c r="G115" s="63">
        <v>2.2999999999999998</v>
      </c>
    </row>
    <row r="116" spans="1:7" ht="14.4" customHeight="1" x14ac:dyDescent="0.25">
      <c r="A116" t="s">
        <v>386</v>
      </c>
      <c r="B116" t="s">
        <v>384</v>
      </c>
      <c r="C116" t="s">
        <v>387</v>
      </c>
      <c r="D116" s="63">
        <v>5.89</v>
      </c>
      <c r="E116" s="82">
        <v>0.68493150684931503</v>
      </c>
      <c r="F116" t="s">
        <v>25</v>
      </c>
      <c r="G116" s="63">
        <v>2.2000000000000002</v>
      </c>
    </row>
    <row r="117" spans="1:7" ht="14.4" customHeight="1" x14ac:dyDescent="0.25">
      <c r="A117" t="s">
        <v>388</v>
      </c>
      <c r="B117" t="s">
        <v>384</v>
      </c>
      <c r="C117" t="s">
        <v>389</v>
      </c>
      <c r="D117" s="63">
        <v>6.5</v>
      </c>
      <c r="E117" s="82">
        <v>1.4356164383561643</v>
      </c>
      <c r="F117" t="s">
        <v>25</v>
      </c>
      <c r="G117" s="63">
        <v>2.2000000000000002</v>
      </c>
    </row>
    <row r="118" spans="1:7" ht="14.4" customHeight="1" x14ac:dyDescent="0.25">
      <c r="A118" t="s">
        <v>390</v>
      </c>
      <c r="B118" t="s">
        <v>384</v>
      </c>
      <c r="C118" t="s">
        <v>391</v>
      </c>
      <c r="D118" s="63">
        <v>6.8</v>
      </c>
      <c r="E118" s="82">
        <v>2.4356164383561643</v>
      </c>
      <c r="F118" t="s">
        <v>25</v>
      </c>
      <c r="G118" s="63">
        <v>1.7</v>
      </c>
    </row>
    <row r="119" spans="1:7" ht="14.4" customHeight="1" x14ac:dyDescent="0.25">
      <c r="A119" t="s">
        <v>392</v>
      </c>
      <c r="B119" t="s">
        <v>384</v>
      </c>
      <c r="C119" t="s">
        <v>393</v>
      </c>
      <c r="D119" s="63">
        <v>7.5</v>
      </c>
      <c r="E119" s="82">
        <v>2.6849315068493151</v>
      </c>
      <c r="F119" t="s">
        <v>688</v>
      </c>
      <c r="G119" s="63">
        <v>0.96499999999999997</v>
      </c>
    </row>
    <row r="120" spans="1:7" ht="14.4" customHeight="1" x14ac:dyDescent="0.25">
      <c r="A120" t="s">
        <v>394</v>
      </c>
      <c r="B120" t="s">
        <v>384</v>
      </c>
      <c r="C120" t="s">
        <v>395</v>
      </c>
      <c r="D120" s="63"/>
      <c r="E120" s="82">
        <v>3.4356164383561643</v>
      </c>
      <c r="F120">
        <v>0</v>
      </c>
      <c r="G120" s="63">
        <v>0.68596999999999997</v>
      </c>
    </row>
    <row r="121" spans="1:7" ht="14.4" customHeight="1" x14ac:dyDescent="0.25">
      <c r="A121" t="s">
        <v>396</v>
      </c>
      <c r="B121" t="s">
        <v>397</v>
      </c>
      <c r="C121" t="s">
        <v>398</v>
      </c>
      <c r="D121" s="63">
        <v>5.46</v>
      </c>
      <c r="E121" s="82">
        <v>0</v>
      </c>
      <c r="F121">
        <v>0</v>
      </c>
      <c r="G121" s="63">
        <v>10</v>
      </c>
    </row>
    <row r="122" spans="1:7" ht="14.4" customHeight="1" x14ac:dyDescent="0.25">
      <c r="A122" t="s">
        <v>399</v>
      </c>
      <c r="B122" t="s">
        <v>400</v>
      </c>
      <c r="C122" t="s">
        <v>401</v>
      </c>
      <c r="D122" s="63">
        <v>6.1</v>
      </c>
      <c r="E122" s="82">
        <v>1.6602739726027398</v>
      </c>
      <c r="F122">
        <v>0</v>
      </c>
      <c r="G122" s="63">
        <v>18</v>
      </c>
    </row>
    <row r="123" spans="1:7" ht="14.4" customHeight="1" x14ac:dyDescent="0.25">
      <c r="A123" t="s">
        <v>402</v>
      </c>
      <c r="B123" t="s">
        <v>403</v>
      </c>
      <c r="C123" t="s">
        <v>404</v>
      </c>
      <c r="D123" s="63">
        <v>5.18</v>
      </c>
      <c r="E123" s="82">
        <v>0</v>
      </c>
      <c r="F123">
        <v>0</v>
      </c>
      <c r="G123" s="63">
        <v>10</v>
      </c>
    </row>
    <row r="124" spans="1:7" ht="14.4" customHeight="1" x14ac:dyDescent="0.25">
      <c r="A124" t="s">
        <v>405</v>
      </c>
      <c r="B124" t="s">
        <v>406</v>
      </c>
      <c r="C124" t="s">
        <v>407</v>
      </c>
      <c r="D124" s="63">
        <v>5.8</v>
      </c>
      <c r="E124" s="82">
        <v>1.9316939890710383</v>
      </c>
      <c r="F124" t="s">
        <v>25</v>
      </c>
      <c r="G124" s="63">
        <v>23.546399999999998</v>
      </c>
    </row>
    <row r="125" spans="1:7" ht="14.4" customHeight="1" x14ac:dyDescent="0.25">
      <c r="A125" t="s">
        <v>408</v>
      </c>
      <c r="B125" t="s">
        <v>406</v>
      </c>
      <c r="C125" t="s">
        <v>409</v>
      </c>
      <c r="D125" s="63">
        <v>7</v>
      </c>
      <c r="E125" s="82">
        <v>2.6849315068493151</v>
      </c>
      <c r="F125" t="s">
        <v>688</v>
      </c>
      <c r="G125" s="63">
        <v>3.2250999999999999</v>
      </c>
    </row>
    <row r="126" spans="1:7" ht="14.4" customHeight="1" x14ac:dyDescent="0.25">
      <c r="A126" t="s">
        <v>410</v>
      </c>
      <c r="B126" t="s">
        <v>406</v>
      </c>
      <c r="C126" t="s">
        <v>411</v>
      </c>
      <c r="D126" s="63"/>
      <c r="E126" s="82">
        <v>2.9316939890710385</v>
      </c>
      <c r="F126">
        <v>0</v>
      </c>
      <c r="G126" s="63">
        <v>1.7695000000000001</v>
      </c>
    </row>
    <row r="127" spans="1:7" ht="14.4" customHeight="1" x14ac:dyDescent="0.25">
      <c r="A127" t="s">
        <v>412</v>
      </c>
      <c r="B127" t="s">
        <v>413</v>
      </c>
      <c r="C127" t="s">
        <v>414</v>
      </c>
      <c r="D127" s="63">
        <v>5.9</v>
      </c>
      <c r="E127" s="82">
        <v>1.5972602739726027</v>
      </c>
      <c r="F127">
        <v>0</v>
      </c>
      <c r="G127" s="63">
        <v>20</v>
      </c>
    </row>
    <row r="128" spans="1:7" ht="14.4" customHeight="1" x14ac:dyDescent="0.25">
      <c r="A128" t="s">
        <v>415</v>
      </c>
      <c r="B128" t="s">
        <v>416</v>
      </c>
      <c r="C128" t="s">
        <v>417</v>
      </c>
      <c r="D128" s="63">
        <v>5.8</v>
      </c>
      <c r="E128" s="82">
        <v>2.3150684931506849</v>
      </c>
      <c r="F128" t="s">
        <v>25</v>
      </c>
      <c r="G128" s="63">
        <v>30.988700000000001</v>
      </c>
    </row>
    <row r="129" spans="1:7" ht="14.4" customHeight="1" x14ac:dyDescent="0.25">
      <c r="A129" t="s">
        <v>418</v>
      </c>
      <c r="B129" t="s">
        <v>416</v>
      </c>
      <c r="C129" t="s">
        <v>419</v>
      </c>
      <c r="D129" s="63">
        <v>6.5</v>
      </c>
      <c r="E129" s="82">
        <v>2.5671232876712331</v>
      </c>
      <c r="F129" t="s">
        <v>687</v>
      </c>
      <c r="G129" s="63">
        <v>1.0704</v>
      </c>
    </row>
    <row r="130" spans="1:7" ht="14.4" customHeight="1" x14ac:dyDescent="0.25">
      <c r="A130" t="s">
        <v>420</v>
      </c>
      <c r="B130" t="s">
        <v>416</v>
      </c>
      <c r="C130" t="s">
        <v>421</v>
      </c>
      <c r="D130" s="63"/>
      <c r="E130" s="82">
        <v>4.021917808219178</v>
      </c>
      <c r="F130">
        <v>0</v>
      </c>
      <c r="G130" s="63">
        <v>2.031838</v>
      </c>
    </row>
    <row r="131" spans="1:7" ht="14.4" customHeight="1" x14ac:dyDescent="0.25">
      <c r="A131" t="s">
        <v>422</v>
      </c>
      <c r="B131" t="s">
        <v>423</v>
      </c>
      <c r="C131" t="s">
        <v>424</v>
      </c>
      <c r="D131" s="63">
        <v>5.47</v>
      </c>
      <c r="E131" s="82">
        <v>1.526027397260274</v>
      </c>
      <c r="F131" t="s">
        <v>25</v>
      </c>
      <c r="G131" s="63">
        <v>45</v>
      </c>
    </row>
    <row r="132" spans="1:7" ht="14.4" customHeight="1" x14ac:dyDescent="0.25">
      <c r="A132" t="s">
        <v>425</v>
      </c>
      <c r="B132" t="s">
        <v>426</v>
      </c>
      <c r="C132" t="s">
        <v>427</v>
      </c>
      <c r="D132" s="63">
        <v>5.4</v>
      </c>
      <c r="E132" s="82">
        <v>1.5095890410958903</v>
      </c>
      <c r="F132">
        <v>0</v>
      </c>
      <c r="G132" s="63">
        <v>12</v>
      </c>
    </row>
    <row r="133" spans="1:7" ht="14.4" customHeight="1" x14ac:dyDescent="0.25">
      <c r="A133" t="s">
        <v>428</v>
      </c>
      <c r="B133" t="s">
        <v>429</v>
      </c>
      <c r="C133" t="s">
        <v>430</v>
      </c>
      <c r="D133" s="63">
        <v>4.74</v>
      </c>
      <c r="E133" s="82">
        <v>0</v>
      </c>
      <c r="F133">
        <v>0</v>
      </c>
      <c r="G133" s="63">
        <v>10</v>
      </c>
    </row>
    <row r="134" spans="1:7" ht="14.4" customHeight="1" x14ac:dyDescent="0.25">
      <c r="A134" t="s">
        <v>431</v>
      </c>
      <c r="B134" t="s">
        <v>432</v>
      </c>
      <c r="C134" t="s">
        <v>433</v>
      </c>
      <c r="D134" s="63">
        <v>4.6500000000000004</v>
      </c>
      <c r="E134" s="82">
        <v>0</v>
      </c>
      <c r="F134">
        <v>0</v>
      </c>
      <c r="G134" s="63">
        <v>10</v>
      </c>
    </row>
    <row r="135" spans="1:7" ht="14.4" customHeight="1" x14ac:dyDescent="0.25">
      <c r="A135" t="s">
        <v>434</v>
      </c>
      <c r="B135" t="s">
        <v>432</v>
      </c>
      <c r="C135" t="s">
        <v>435</v>
      </c>
      <c r="D135" s="63">
        <v>5.45</v>
      </c>
      <c r="E135" s="82">
        <v>3.4082191780821915</v>
      </c>
      <c r="F135" t="s">
        <v>25</v>
      </c>
      <c r="G135" s="63">
        <v>12</v>
      </c>
    </row>
    <row r="136" spans="1:7" ht="14.4" customHeight="1" x14ac:dyDescent="0.25">
      <c r="A136" t="s">
        <v>436</v>
      </c>
      <c r="B136" t="s">
        <v>437</v>
      </c>
      <c r="C136" t="s">
        <v>438</v>
      </c>
      <c r="D136" s="63">
        <v>4.8899999999999997</v>
      </c>
      <c r="E136" s="82">
        <v>3.3917808219178083</v>
      </c>
      <c r="F136" t="s">
        <v>25</v>
      </c>
      <c r="G136" s="63">
        <v>6</v>
      </c>
    </row>
    <row r="137" spans="1:7" ht="14.4" customHeight="1" x14ac:dyDescent="0.25">
      <c r="A137" t="s">
        <v>439</v>
      </c>
      <c r="B137" t="s">
        <v>440</v>
      </c>
      <c r="C137" t="s">
        <v>441</v>
      </c>
      <c r="D137" s="63">
        <v>4.7</v>
      </c>
      <c r="E137" s="82">
        <v>0</v>
      </c>
      <c r="F137">
        <v>0</v>
      </c>
      <c r="G137" s="63">
        <v>10</v>
      </c>
    </row>
    <row r="138" spans="1:7" ht="14.4" customHeight="1" x14ac:dyDescent="0.25">
      <c r="A138" t="s">
        <v>442</v>
      </c>
      <c r="B138" t="s">
        <v>443</v>
      </c>
      <c r="C138" t="s">
        <v>444</v>
      </c>
      <c r="D138" s="63">
        <v>4.8899999999999997</v>
      </c>
      <c r="E138" s="82">
        <v>3.3506849315068492</v>
      </c>
      <c r="F138" t="s">
        <v>25</v>
      </c>
      <c r="G138" s="63">
        <v>22</v>
      </c>
    </row>
    <row r="139" spans="1:7" ht="14.4" customHeight="1" x14ac:dyDescent="0.25">
      <c r="A139" t="s">
        <v>445</v>
      </c>
      <c r="B139" t="s">
        <v>446</v>
      </c>
      <c r="C139" t="s">
        <v>447</v>
      </c>
      <c r="D139" s="63">
        <v>5.56</v>
      </c>
      <c r="E139" s="82">
        <v>3.3452054794520549</v>
      </c>
      <c r="F139" t="s">
        <v>25</v>
      </c>
      <c r="G139" s="63">
        <v>18</v>
      </c>
    </row>
    <row r="140" spans="1:7" ht="14.4" customHeight="1" x14ac:dyDescent="0.25">
      <c r="A140" t="s">
        <v>448</v>
      </c>
      <c r="B140" t="s">
        <v>449</v>
      </c>
      <c r="C140" t="s">
        <v>450</v>
      </c>
      <c r="D140" s="63">
        <v>4.58</v>
      </c>
      <c r="E140" s="82">
        <v>0</v>
      </c>
      <c r="F140">
        <v>0</v>
      </c>
      <c r="G140" s="63">
        <v>15</v>
      </c>
    </row>
    <row r="141" spans="1:7" ht="14.4" customHeight="1" x14ac:dyDescent="0.25">
      <c r="A141" t="s">
        <v>451</v>
      </c>
      <c r="B141" t="s">
        <v>452</v>
      </c>
      <c r="C141" t="s">
        <v>453</v>
      </c>
      <c r="D141" s="63">
        <v>4.7</v>
      </c>
      <c r="E141" s="82">
        <v>3.2767123287671232</v>
      </c>
      <c r="F141" t="s">
        <v>25</v>
      </c>
      <c r="G141" s="63">
        <v>16</v>
      </c>
    </row>
    <row r="142" spans="1:7" ht="14.4" customHeight="1" x14ac:dyDescent="0.25">
      <c r="A142" t="s">
        <v>454</v>
      </c>
      <c r="B142" t="s">
        <v>455</v>
      </c>
      <c r="C142" t="s">
        <v>456</v>
      </c>
      <c r="D142" s="63">
        <v>5.3</v>
      </c>
      <c r="E142" s="82">
        <v>3.2575342465753425</v>
      </c>
      <c r="F142" t="s">
        <v>25</v>
      </c>
      <c r="G142" s="63">
        <v>20</v>
      </c>
    </row>
    <row r="143" spans="1:7" ht="14.4" customHeight="1" x14ac:dyDescent="0.25">
      <c r="A143" t="s">
        <v>457</v>
      </c>
      <c r="B143" t="s">
        <v>455</v>
      </c>
      <c r="C143" t="s">
        <v>458</v>
      </c>
      <c r="D143" s="63">
        <v>4.55</v>
      </c>
      <c r="E143" s="82">
        <v>0</v>
      </c>
      <c r="F143">
        <v>0</v>
      </c>
      <c r="G143" s="63">
        <v>5</v>
      </c>
    </row>
    <row r="144" spans="1:7" ht="14.4" customHeight="1" x14ac:dyDescent="0.25">
      <c r="A144" t="s">
        <v>459</v>
      </c>
      <c r="B144" t="s">
        <v>460</v>
      </c>
      <c r="C144" t="s">
        <v>461</v>
      </c>
      <c r="D144" s="63">
        <v>4.57</v>
      </c>
      <c r="E144" s="82">
        <v>0</v>
      </c>
      <c r="F144">
        <v>0</v>
      </c>
      <c r="G144" s="63">
        <v>10</v>
      </c>
    </row>
    <row r="145" spans="1:7" ht="14.4" customHeight="1" x14ac:dyDescent="0.25">
      <c r="A145" t="s">
        <v>462</v>
      </c>
      <c r="B145" t="s">
        <v>463</v>
      </c>
      <c r="C145" t="s">
        <v>464</v>
      </c>
      <c r="D145" s="63">
        <v>4.91</v>
      </c>
      <c r="E145" s="82">
        <v>0</v>
      </c>
      <c r="F145">
        <v>0</v>
      </c>
      <c r="G145" s="63">
        <v>5</v>
      </c>
    </row>
    <row r="146" spans="1:7" ht="14.4" customHeight="1" x14ac:dyDescent="0.25">
      <c r="A146" t="s">
        <v>465</v>
      </c>
      <c r="B146" t="s">
        <v>466</v>
      </c>
      <c r="C146" t="s">
        <v>467</v>
      </c>
      <c r="D146" s="63">
        <v>4.9800000000000004</v>
      </c>
      <c r="E146" s="82">
        <v>0</v>
      </c>
      <c r="F146" t="s">
        <v>689</v>
      </c>
      <c r="G146" s="63">
        <v>10</v>
      </c>
    </row>
    <row r="147" spans="1:7" ht="14.4" customHeight="1" x14ac:dyDescent="0.25">
      <c r="A147" t="s">
        <v>468</v>
      </c>
      <c r="B147" t="s">
        <v>469</v>
      </c>
      <c r="C147" t="s">
        <v>470</v>
      </c>
      <c r="D147" s="63">
        <v>4.9000000000000004</v>
      </c>
      <c r="E147" s="82">
        <v>0</v>
      </c>
      <c r="F147" t="s">
        <v>689</v>
      </c>
      <c r="G147" s="63">
        <v>5</v>
      </c>
    </row>
    <row r="148" spans="1:7" ht="14.4" customHeight="1" x14ac:dyDescent="0.25">
      <c r="A148" t="s">
        <v>471</v>
      </c>
      <c r="B148" t="s">
        <v>472</v>
      </c>
      <c r="C148" t="s">
        <v>473</v>
      </c>
      <c r="D148" s="63">
        <v>4.95</v>
      </c>
      <c r="E148" s="82">
        <v>0</v>
      </c>
      <c r="F148">
        <v>0</v>
      </c>
      <c r="G148" s="63">
        <v>15</v>
      </c>
    </row>
    <row r="149" spans="1:7" ht="14.4" customHeight="1" x14ac:dyDescent="0.25">
      <c r="A149" t="s">
        <v>474</v>
      </c>
      <c r="B149" t="s">
        <v>475</v>
      </c>
      <c r="C149" t="s">
        <v>476</v>
      </c>
      <c r="D149" s="63">
        <v>5.5</v>
      </c>
      <c r="E149" s="82">
        <v>0.93442622950819676</v>
      </c>
      <c r="F149" t="s">
        <v>25</v>
      </c>
      <c r="G149" s="63">
        <v>21</v>
      </c>
    </row>
    <row r="150" spans="1:7" ht="14.4" customHeight="1" x14ac:dyDescent="0.25">
      <c r="A150" t="s">
        <v>477</v>
      </c>
      <c r="B150" t="s">
        <v>478</v>
      </c>
      <c r="C150" t="s">
        <v>479</v>
      </c>
      <c r="D150" s="63">
        <v>4.55</v>
      </c>
      <c r="E150" s="82">
        <v>0</v>
      </c>
      <c r="F150">
        <v>0</v>
      </c>
      <c r="G150" s="63">
        <v>15</v>
      </c>
    </row>
    <row r="151" spans="1:7" ht="14.4" customHeight="1" x14ac:dyDescent="0.25">
      <c r="A151" t="s">
        <v>480</v>
      </c>
      <c r="B151" t="s">
        <v>481</v>
      </c>
      <c r="C151" t="s">
        <v>482</v>
      </c>
      <c r="D151" s="63">
        <v>5</v>
      </c>
      <c r="E151" s="82">
        <v>0.40821917808219177</v>
      </c>
      <c r="F151" t="s">
        <v>25</v>
      </c>
      <c r="G151" s="63">
        <v>12.23</v>
      </c>
    </row>
    <row r="152" spans="1:7" ht="14.4" customHeight="1" x14ac:dyDescent="0.25">
      <c r="A152" t="s">
        <v>483</v>
      </c>
      <c r="B152" t="s">
        <v>481</v>
      </c>
      <c r="C152" t="s">
        <v>484</v>
      </c>
      <c r="D152" s="63">
        <v>6.3</v>
      </c>
      <c r="E152" s="82">
        <v>0.65753424657534243</v>
      </c>
      <c r="F152" t="s">
        <v>25</v>
      </c>
      <c r="G152" s="63">
        <v>0.98860000000000003</v>
      </c>
    </row>
    <row r="153" spans="1:7" ht="14.4" customHeight="1" x14ac:dyDescent="0.25">
      <c r="A153" t="s">
        <v>485</v>
      </c>
      <c r="B153" t="s">
        <v>481</v>
      </c>
      <c r="C153" t="s">
        <v>486</v>
      </c>
      <c r="D153" s="63"/>
      <c r="E153" s="82">
        <v>2.9043715846994536</v>
      </c>
      <c r="F153">
        <v>0</v>
      </c>
      <c r="G153" s="63">
        <v>0.79165700000000006</v>
      </c>
    </row>
    <row r="154" spans="1:7" ht="14.4" customHeight="1" x14ac:dyDescent="0.25">
      <c r="A154" t="s">
        <v>487</v>
      </c>
      <c r="B154" t="s">
        <v>488</v>
      </c>
      <c r="C154" t="s">
        <v>489</v>
      </c>
      <c r="D154" s="63">
        <v>5.2</v>
      </c>
      <c r="E154" s="82">
        <v>0</v>
      </c>
      <c r="F154" t="s">
        <v>25</v>
      </c>
      <c r="G154" s="63">
        <v>8.8514800000000005</v>
      </c>
    </row>
    <row r="155" spans="1:7" ht="14.4" customHeight="1" x14ac:dyDescent="0.25">
      <c r="A155" t="s">
        <v>490</v>
      </c>
      <c r="B155" t="s">
        <v>488</v>
      </c>
      <c r="C155" t="s">
        <v>491</v>
      </c>
      <c r="D155" s="63">
        <v>6</v>
      </c>
      <c r="E155" s="82">
        <v>0</v>
      </c>
      <c r="F155" t="s">
        <v>688</v>
      </c>
      <c r="G155" s="63">
        <v>1.32664</v>
      </c>
    </row>
    <row r="156" spans="1:7" ht="14.4" customHeight="1" x14ac:dyDescent="0.25">
      <c r="A156" t="s">
        <v>492</v>
      </c>
      <c r="B156" t="s">
        <v>488</v>
      </c>
      <c r="C156" t="s">
        <v>493</v>
      </c>
      <c r="D156" s="63"/>
      <c r="E156" s="82">
        <v>2.2520547945205478</v>
      </c>
      <c r="F156">
        <v>0</v>
      </c>
      <c r="G156" s="63">
        <v>0.69594</v>
      </c>
    </row>
    <row r="157" spans="1:7" ht="14.4" customHeight="1" x14ac:dyDescent="0.25">
      <c r="A157" t="s">
        <v>494</v>
      </c>
      <c r="B157" t="s">
        <v>495</v>
      </c>
      <c r="C157" t="s">
        <v>496</v>
      </c>
      <c r="D157" s="63">
        <v>4.62</v>
      </c>
      <c r="E157" s="82">
        <v>0</v>
      </c>
      <c r="F157">
        <v>0</v>
      </c>
      <c r="G157" s="63">
        <v>20</v>
      </c>
    </row>
    <row r="158" spans="1:7" ht="14.4" customHeight="1" x14ac:dyDescent="0.25">
      <c r="A158" t="s">
        <v>497</v>
      </c>
      <c r="B158" t="s">
        <v>498</v>
      </c>
      <c r="C158" t="s">
        <v>499</v>
      </c>
      <c r="D158" s="63">
        <v>4.2</v>
      </c>
      <c r="E158" s="82">
        <v>0</v>
      </c>
      <c r="F158">
        <v>0</v>
      </c>
      <c r="G158" s="63">
        <v>15</v>
      </c>
    </row>
    <row r="159" spans="1:7" ht="14.4" customHeight="1" x14ac:dyDescent="0.25">
      <c r="A159" t="s">
        <v>500</v>
      </c>
      <c r="B159" t="s">
        <v>501</v>
      </c>
      <c r="C159" t="s">
        <v>502</v>
      </c>
      <c r="D159" s="63">
        <v>4.7</v>
      </c>
      <c r="E159" s="82">
        <v>0.30958904109589042</v>
      </c>
      <c r="F159" t="s">
        <v>25</v>
      </c>
      <c r="G159" s="63">
        <v>14.54</v>
      </c>
    </row>
    <row r="160" spans="1:7" ht="14.4" customHeight="1" x14ac:dyDescent="0.25">
      <c r="A160" t="s">
        <v>503</v>
      </c>
      <c r="B160" t="s">
        <v>501</v>
      </c>
      <c r="C160" t="s">
        <v>504</v>
      </c>
      <c r="D160" s="63">
        <v>5.4</v>
      </c>
      <c r="E160" s="82">
        <v>0.56164383561643838</v>
      </c>
      <c r="F160" t="s">
        <v>25</v>
      </c>
      <c r="G160" s="63">
        <v>0.86</v>
      </c>
    </row>
    <row r="161" spans="1:7" ht="14.4" customHeight="1" x14ac:dyDescent="0.25">
      <c r="A161" t="s">
        <v>505</v>
      </c>
      <c r="B161" t="s">
        <v>501</v>
      </c>
      <c r="C161" t="s">
        <v>506</v>
      </c>
      <c r="D161" s="63">
        <v>6.5</v>
      </c>
      <c r="E161" s="82">
        <v>1.0684931506849316</v>
      </c>
      <c r="F161" t="s">
        <v>687</v>
      </c>
      <c r="G161" s="63">
        <v>0.7</v>
      </c>
    </row>
    <row r="162" spans="1:7" ht="14.4" customHeight="1" x14ac:dyDescent="0.25">
      <c r="A162" t="s">
        <v>507</v>
      </c>
      <c r="B162" t="s">
        <v>501</v>
      </c>
      <c r="C162" t="s">
        <v>508</v>
      </c>
      <c r="D162" s="63"/>
      <c r="E162" s="82">
        <v>1.0684931506849316</v>
      </c>
      <c r="F162">
        <v>0</v>
      </c>
      <c r="G162" s="63">
        <v>1.0146999999999999</v>
      </c>
    </row>
    <row r="163" spans="1:7" ht="14.4" customHeight="1" x14ac:dyDescent="0.25">
      <c r="A163" t="s">
        <v>509</v>
      </c>
      <c r="B163" t="s">
        <v>510</v>
      </c>
      <c r="C163" t="s">
        <v>511</v>
      </c>
      <c r="D163" s="63">
        <v>4.55</v>
      </c>
      <c r="E163" s="82">
        <v>0.66027397260273968</v>
      </c>
      <c r="F163">
        <v>0</v>
      </c>
      <c r="G163" s="63">
        <v>15</v>
      </c>
    </row>
    <row r="164" spans="1:7" ht="14.4" customHeight="1" x14ac:dyDescent="0.25">
      <c r="A164" t="s">
        <v>512</v>
      </c>
      <c r="B164" t="s">
        <v>510</v>
      </c>
      <c r="C164" t="s">
        <v>513</v>
      </c>
      <c r="D164" s="63">
        <v>4.3499999999999996</v>
      </c>
      <c r="E164" s="82">
        <v>0</v>
      </c>
      <c r="F164">
        <v>0</v>
      </c>
      <c r="G164" s="63">
        <v>10</v>
      </c>
    </row>
    <row r="165" spans="1:7" ht="14.4" customHeight="1" x14ac:dyDescent="0.25">
      <c r="A165" t="s">
        <v>514</v>
      </c>
      <c r="B165" t="s">
        <v>515</v>
      </c>
      <c r="C165" t="s">
        <v>516</v>
      </c>
      <c r="D165" s="63">
        <v>3.58</v>
      </c>
      <c r="E165" s="82">
        <v>0.6</v>
      </c>
      <c r="F165" t="s">
        <v>25</v>
      </c>
      <c r="G165" s="63">
        <v>10</v>
      </c>
    </row>
    <row r="166" spans="1:7" ht="14.4" customHeight="1" x14ac:dyDescent="0.25">
      <c r="A166" t="s">
        <v>517</v>
      </c>
      <c r="B166" t="s">
        <v>518</v>
      </c>
      <c r="C166" t="s">
        <v>519</v>
      </c>
      <c r="D166" s="63">
        <v>3.69</v>
      </c>
      <c r="E166" s="82">
        <v>0.14794520547945206</v>
      </c>
      <c r="F166" t="s">
        <v>25</v>
      </c>
      <c r="G166" s="63">
        <v>13.56</v>
      </c>
    </row>
    <row r="167" spans="1:7" ht="14.4" customHeight="1" x14ac:dyDescent="0.25">
      <c r="A167" t="s">
        <v>520</v>
      </c>
      <c r="B167" t="s">
        <v>518</v>
      </c>
      <c r="C167" t="s">
        <v>521</v>
      </c>
      <c r="D167" s="63">
        <v>5.9</v>
      </c>
      <c r="E167" s="82">
        <v>0.90163934426229508</v>
      </c>
      <c r="F167" t="s">
        <v>25</v>
      </c>
      <c r="G167" s="63">
        <v>2.15</v>
      </c>
    </row>
    <row r="168" spans="1:7" ht="14.4" customHeight="1" x14ac:dyDescent="0.25">
      <c r="A168" t="s">
        <v>522</v>
      </c>
      <c r="B168" t="s">
        <v>518</v>
      </c>
      <c r="C168" t="s">
        <v>523</v>
      </c>
      <c r="D168" s="63"/>
      <c r="E168" s="82">
        <v>3.6465753424657534</v>
      </c>
      <c r="F168">
        <v>0</v>
      </c>
      <c r="G168" s="63">
        <v>1.5</v>
      </c>
    </row>
    <row r="169" spans="1:7" ht="14.4" customHeight="1" x14ac:dyDescent="0.25">
      <c r="A169" t="s">
        <v>524</v>
      </c>
      <c r="B169" t="s">
        <v>525</v>
      </c>
      <c r="C169" t="s">
        <v>526</v>
      </c>
      <c r="D169" s="63">
        <v>6</v>
      </c>
      <c r="E169" s="82">
        <v>0.17808219178082191</v>
      </c>
      <c r="F169" t="s">
        <v>687</v>
      </c>
      <c r="G169" s="63">
        <v>1.19</v>
      </c>
    </row>
    <row r="170" spans="1:7" ht="14.4" customHeight="1" x14ac:dyDescent="0.25">
      <c r="A170" t="s">
        <v>527</v>
      </c>
      <c r="B170" t="s">
        <v>525</v>
      </c>
      <c r="C170" t="s">
        <v>508</v>
      </c>
      <c r="D170" s="63"/>
      <c r="E170" s="82">
        <v>1.6794520547945204</v>
      </c>
      <c r="F170">
        <v>0</v>
      </c>
      <c r="G170" s="63">
        <v>0.6</v>
      </c>
    </row>
    <row r="171" spans="1:7" ht="14.4" customHeight="1" x14ac:dyDescent="0.25">
      <c r="A171" t="s">
        <v>528</v>
      </c>
      <c r="B171" t="s">
        <v>525</v>
      </c>
      <c r="C171" t="s">
        <v>529</v>
      </c>
      <c r="D171" s="63">
        <v>3.47</v>
      </c>
      <c r="E171" s="82">
        <v>0</v>
      </c>
      <c r="F171" t="s">
        <v>25</v>
      </c>
      <c r="G171" s="63">
        <v>7.75</v>
      </c>
    </row>
    <row r="172" spans="1:7" ht="14.4" customHeight="1" x14ac:dyDescent="0.25">
      <c r="A172" t="s">
        <v>530</v>
      </c>
      <c r="B172" t="s">
        <v>531</v>
      </c>
      <c r="C172" t="s">
        <v>532</v>
      </c>
      <c r="D172" s="63">
        <v>3.5</v>
      </c>
      <c r="E172" s="82">
        <v>0.56986301369863013</v>
      </c>
      <c r="F172">
        <v>0</v>
      </c>
      <c r="G172" s="63">
        <v>10</v>
      </c>
    </row>
    <row r="173" spans="1:7" ht="14.4" customHeight="1" x14ac:dyDescent="0.25">
      <c r="A173" t="s">
        <v>533</v>
      </c>
      <c r="B173" t="s">
        <v>534</v>
      </c>
      <c r="C173" t="s">
        <v>535</v>
      </c>
      <c r="D173" s="63">
        <v>3.35</v>
      </c>
      <c r="E173" s="82">
        <v>0.55890410958904113</v>
      </c>
      <c r="F173">
        <v>0</v>
      </c>
      <c r="G173" s="63">
        <v>10</v>
      </c>
    </row>
    <row r="174" spans="1:7" ht="14.4" customHeight="1" x14ac:dyDescent="0.25">
      <c r="A174" t="s">
        <v>536</v>
      </c>
      <c r="B174" t="s">
        <v>537</v>
      </c>
      <c r="C174" t="s">
        <v>538</v>
      </c>
      <c r="D174" s="63">
        <v>3.45</v>
      </c>
      <c r="E174" s="82">
        <v>0.48767123287671232</v>
      </c>
      <c r="F174">
        <v>0</v>
      </c>
      <c r="G174" s="63">
        <v>15</v>
      </c>
    </row>
    <row r="175" spans="1:7" ht="14.4" customHeight="1" x14ac:dyDescent="0.25">
      <c r="A175" t="s">
        <v>539</v>
      </c>
      <c r="B175" t="s">
        <v>540</v>
      </c>
      <c r="C175" t="s">
        <v>541</v>
      </c>
      <c r="D175" s="63">
        <v>3.59</v>
      </c>
      <c r="E175" s="82">
        <v>2.4657534246575342E-2</v>
      </c>
      <c r="F175" t="s">
        <v>25</v>
      </c>
      <c r="G175" s="63">
        <v>21.03</v>
      </c>
    </row>
    <row r="176" spans="1:7" ht="14.4" customHeight="1" x14ac:dyDescent="0.25">
      <c r="A176" t="s">
        <v>542</v>
      </c>
      <c r="B176" t="s">
        <v>540</v>
      </c>
      <c r="C176" t="s">
        <v>543</v>
      </c>
      <c r="D176" s="63">
        <v>6</v>
      </c>
      <c r="E176" s="82">
        <v>0.78082191780821919</v>
      </c>
      <c r="F176" t="s">
        <v>687</v>
      </c>
      <c r="G176" s="63">
        <v>3.18</v>
      </c>
    </row>
    <row r="177" spans="1:7" ht="14.4" customHeight="1" x14ac:dyDescent="0.25">
      <c r="A177" t="s">
        <v>544</v>
      </c>
      <c r="B177" t="s">
        <v>540</v>
      </c>
      <c r="C177" t="s">
        <v>545</v>
      </c>
      <c r="D177" s="63"/>
      <c r="E177" s="82">
        <v>0.78082191780821919</v>
      </c>
      <c r="F177">
        <v>0</v>
      </c>
      <c r="G177" s="63">
        <v>1.4416850000000001</v>
      </c>
    </row>
    <row r="178" spans="1:7" ht="14.4" customHeight="1" x14ac:dyDescent="0.25">
      <c r="A178" t="s">
        <v>546</v>
      </c>
      <c r="B178" t="s">
        <v>547</v>
      </c>
      <c r="C178" t="s">
        <v>548</v>
      </c>
      <c r="D178" s="63"/>
      <c r="E178" s="82">
        <v>1.8575342465753426</v>
      </c>
      <c r="F178">
        <v>0</v>
      </c>
      <c r="G178" s="63">
        <v>1.57684</v>
      </c>
    </row>
    <row r="179" spans="1:7" ht="14.4" customHeight="1" x14ac:dyDescent="0.25">
      <c r="A179" t="s">
        <v>549</v>
      </c>
      <c r="B179" t="s">
        <v>547</v>
      </c>
      <c r="C179" t="s">
        <v>550</v>
      </c>
      <c r="D179" s="63">
        <v>6.8</v>
      </c>
      <c r="E179" s="82">
        <v>0.61095890410958908</v>
      </c>
      <c r="F179" t="s">
        <v>25</v>
      </c>
      <c r="G179" s="63">
        <v>3.4</v>
      </c>
    </row>
    <row r="180" spans="1:7" ht="14.4" customHeight="1" x14ac:dyDescent="0.25">
      <c r="A180" t="s">
        <v>551</v>
      </c>
      <c r="B180" t="s">
        <v>547</v>
      </c>
      <c r="C180" t="s">
        <v>552</v>
      </c>
      <c r="D180" s="63">
        <v>3.95</v>
      </c>
      <c r="E180" s="82">
        <v>0</v>
      </c>
      <c r="F180" t="s">
        <v>25</v>
      </c>
      <c r="G180" s="63">
        <v>25</v>
      </c>
    </row>
    <row r="181" spans="1:7" ht="14.4" customHeight="1" x14ac:dyDescent="0.25">
      <c r="A181" t="s">
        <v>553</v>
      </c>
      <c r="B181" t="s">
        <v>554</v>
      </c>
      <c r="C181" t="s">
        <v>555</v>
      </c>
      <c r="D181" s="63">
        <v>2.96</v>
      </c>
      <c r="E181" s="82">
        <v>0</v>
      </c>
      <c r="F181" t="s">
        <v>689</v>
      </c>
      <c r="G181" s="63">
        <v>5.5</v>
      </c>
    </row>
    <row r="182" spans="1:7" ht="14.4" customHeight="1" x14ac:dyDescent="0.25">
      <c r="A182" t="s">
        <v>556</v>
      </c>
      <c r="B182" t="s">
        <v>557</v>
      </c>
      <c r="C182" t="s">
        <v>558</v>
      </c>
      <c r="D182" s="63">
        <v>3</v>
      </c>
      <c r="E182" s="82">
        <v>0</v>
      </c>
      <c r="F182" t="s">
        <v>689</v>
      </c>
      <c r="G182" s="63">
        <v>4.5</v>
      </c>
    </row>
    <row r="183" spans="1:7" ht="14.4" customHeight="1" x14ac:dyDescent="0.25">
      <c r="A183" t="s">
        <v>559</v>
      </c>
      <c r="B183" t="s">
        <v>560</v>
      </c>
      <c r="C183" t="s">
        <v>561</v>
      </c>
      <c r="D183" s="63">
        <v>2.95</v>
      </c>
      <c r="E183" s="82">
        <v>0</v>
      </c>
      <c r="F183" t="s">
        <v>689</v>
      </c>
      <c r="G183" s="63">
        <v>5</v>
      </c>
    </row>
    <row r="184" spans="1:7" ht="14.4" customHeight="1" x14ac:dyDescent="0.25">
      <c r="A184" t="s">
        <v>562</v>
      </c>
      <c r="B184" t="s">
        <v>563</v>
      </c>
      <c r="C184" t="s">
        <v>564</v>
      </c>
      <c r="D184" s="63">
        <v>3.34</v>
      </c>
      <c r="E184" s="82">
        <v>0</v>
      </c>
      <c r="F184" t="s">
        <v>25</v>
      </c>
      <c r="G184" s="63">
        <v>10</v>
      </c>
    </row>
    <row r="185" spans="1:7" ht="14.4" customHeight="1" x14ac:dyDescent="0.25">
      <c r="A185" t="s">
        <v>565</v>
      </c>
      <c r="B185" t="s">
        <v>566</v>
      </c>
      <c r="C185" t="s">
        <v>567</v>
      </c>
      <c r="D185" s="63">
        <v>3.45</v>
      </c>
      <c r="E185" s="82">
        <v>0</v>
      </c>
      <c r="F185" t="s">
        <v>25</v>
      </c>
      <c r="G185" s="63">
        <v>5</v>
      </c>
    </row>
    <row r="186" spans="1:7" ht="14.4" customHeight="1" x14ac:dyDescent="0.25">
      <c r="A186" t="s">
        <v>568</v>
      </c>
      <c r="B186" t="s">
        <v>569</v>
      </c>
      <c r="C186" t="s">
        <v>570</v>
      </c>
      <c r="D186" s="63">
        <v>3.5</v>
      </c>
      <c r="E186" s="82">
        <v>1.7643835616438355</v>
      </c>
      <c r="F186" t="s">
        <v>25</v>
      </c>
      <c r="G186" s="63">
        <v>15</v>
      </c>
    </row>
    <row r="187" spans="1:7" ht="14.4" customHeight="1" x14ac:dyDescent="0.25">
      <c r="A187" t="s">
        <v>571</v>
      </c>
      <c r="B187" t="s">
        <v>572</v>
      </c>
      <c r="C187" t="s">
        <v>573</v>
      </c>
      <c r="D187" s="63">
        <v>3.89</v>
      </c>
      <c r="E187" s="82">
        <v>0</v>
      </c>
      <c r="F187" t="s">
        <v>25</v>
      </c>
      <c r="G187" s="63">
        <v>19</v>
      </c>
    </row>
    <row r="188" spans="1:7" ht="14.4" customHeight="1" x14ac:dyDescent="0.25">
      <c r="A188" t="s">
        <v>574</v>
      </c>
      <c r="B188" t="s">
        <v>575</v>
      </c>
      <c r="C188" t="s">
        <v>576</v>
      </c>
      <c r="D188" s="63">
        <v>4.5999999999999996</v>
      </c>
      <c r="E188" s="82">
        <v>0</v>
      </c>
      <c r="F188" t="s">
        <v>25</v>
      </c>
      <c r="G188" s="63">
        <v>12.192</v>
      </c>
    </row>
    <row r="189" spans="1:7" ht="14.4" customHeight="1" x14ac:dyDescent="0.25">
      <c r="A189" t="s">
        <v>577</v>
      </c>
      <c r="B189" t="s">
        <v>575</v>
      </c>
      <c r="C189" t="s">
        <v>578</v>
      </c>
      <c r="D189" s="63">
        <v>5.8</v>
      </c>
      <c r="E189" s="82">
        <v>0</v>
      </c>
      <c r="F189" t="s">
        <v>687</v>
      </c>
      <c r="G189" s="63">
        <v>1.524</v>
      </c>
    </row>
    <row r="190" spans="1:7" ht="14.4" customHeight="1" x14ac:dyDescent="0.25">
      <c r="A190" t="s">
        <v>579</v>
      </c>
      <c r="B190" t="s">
        <v>575</v>
      </c>
      <c r="C190" t="s">
        <v>580</v>
      </c>
      <c r="D190" s="63">
        <v>8.5</v>
      </c>
      <c r="E190" s="82">
        <v>0</v>
      </c>
      <c r="F190" t="s">
        <v>687</v>
      </c>
      <c r="G190" s="63">
        <v>0.76200000000000001</v>
      </c>
    </row>
    <row r="191" spans="1:7" ht="14.4" customHeight="1" x14ac:dyDescent="0.25">
      <c r="A191" t="s">
        <v>581</v>
      </c>
      <c r="B191" t="s">
        <v>575</v>
      </c>
      <c r="C191" t="s">
        <v>582</v>
      </c>
      <c r="D191" s="63"/>
      <c r="E191" s="82">
        <v>0.67397260273972603</v>
      </c>
      <c r="F191">
        <v>0</v>
      </c>
      <c r="G191" s="63">
        <v>0.76200000000000001</v>
      </c>
    </row>
    <row r="192" spans="1:7" ht="14.4" customHeight="1" x14ac:dyDescent="0.25">
      <c r="A192" t="s">
        <v>583</v>
      </c>
      <c r="B192" t="s">
        <v>584</v>
      </c>
      <c r="C192" t="s">
        <v>576</v>
      </c>
      <c r="D192" s="63">
        <v>4.0999999999999996</v>
      </c>
      <c r="E192" s="82">
        <v>0</v>
      </c>
      <c r="F192" t="s">
        <v>25</v>
      </c>
      <c r="G192" s="63">
        <v>17.420000000000002</v>
      </c>
    </row>
    <row r="193" spans="1:7" ht="14.4" customHeight="1" x14ac:dyDescent="0.25">
      <c r="A193" t="s">
        <v>585</v>
      </c>
      <c r="B193" t="s">
        <v>584</v>
      </c>
      <c r="C193" t="s">
        <v>578</v>
      </c>
      <c r="D193" s="63">
        <v>6.8</v>
      </c>
      <c r="E193" s="82">
        <v>0</v>
      </c>
      <c r="F193" t="s">
        <v>690</v>
      </c>
      <c r="G193" s="63">
        <v>1.64</v>
      </c>
    </row>
    <row r="194" spans="1:7" ht="14.4" customHeight="1" x14ac:dyDescent="0.25">
      <c r="A194" t="s">
        <v>586</v>
      </c>
      <c r="B194" t="s">
        <v>584</v>
      </c>
      <c r="C194" t="s">
        <v>587</v>
      </c>
      <c r="D194" s="63"/>
      <c r="E194" s="82">
        <v>0</v>
      </c>
      <c r="F194">
        <v>0</v>
      </c>
      <c r="G194" s="63">
        <v>1.1358509999999999</v>
      </c>
    </row>
    <row r="195" spans="1:7" ht="14.4" customHeight="1" x14ac:dyDescent="0.25">
      <c r="A195" t="s">
        <v>588</v>
      </c>
      <c r="B195" t="s">
        <v>589</v>
      </c>
      <c r="C195" t="s">
        <v>590</v>
      </c>
      <c r="D195" s="63">
        <v>4.3</v>
      </c>
      <c r="E195" s="82">
        <v>0</v>
      </c>
      <c r="F195">
        <v>0</v>
      </c>
      <c r="G195" s="63">
        <v>26</v>
      </c>
    </row>
    <row r="196" spans="1:7" ht="14.4" customHeight="1" x14ac:dyDescent="0.25">
      <c r="A196" t="s">
        <v>591</v>
      </c>
      <c r="B196" t="s">
        <v>592</v>
      </c>
      <c r="C196" t="s">
        <v>593</v>
      </c>
      <c r="D196" s="63">
        <v>4.4000000000000004</v>
      </c>
      <c r="E196" s="82">
        <v>0</v>
      </c>
      <c r="F196">
        <v>0</v>
      </c>
      <c r="G196" s="63">
        <v>12</v>
      </c>
    </row>
    <row r="197" spans="1:7" ht="14.4" customHeight="1" x14ac:dyDescent="0.25">
      <c r="A197" t="s">
        <v>594</v>
      </c>
      <c r="B197" t="s">
        <v>595</v>
      </c>
      <c r="C197" t="s">
        <v>596</v>
      </c>
      <c r="D197" s="63">
        <v>4.55</v>
      </c>
      <c r="E197" s="82">
        <v>0</v>
      </c>
      <c r="F197">
        <v>0</v>
      </c>
      <c r="G197" s="63">
        <v>10</v>
      </c>
    </row>
    <row r="198" spans="1:7" ht="14.4" customHeight="1" x14ac:dyDescent="0.25">
      <c r="A198" t="s">
        <v>597</v>
      </c>
      <c r="B198" t="s">
        <v>598</v>
      </c>
      <c r="C198" t="s">
        <v>599</v>
      </c>
      <c r="D198" s="63">
        <v>5.0999999999999996</v>
      </c>
      <c r="E198" s="82">
        <v>0</v>
      </c>
      <c r="F198">
        <v>0</v>
      </c>
      <c r="G198" s="63">
        <v>2</v>
      </c>
    </row>
    <row r="199" spans="1:7" ht="14.4" customHeight="1" x14ac:dyDescent="0.25">
      <c r="A199" t="s">
        <v>600</v>
      </c>
      <c r="C199" t="s">
        <v>601</v>
      </c>
      <c r="D199" s="63"/>
      <c r="E199" s="82">
        <v>0</v>
      </c>
      <c r="F199">
        <v>0</v>
      </c>
      <c r="G199" s="63">
        <v>0</v>
      </c>
    </row>
    <row r="200" spans="1:7" ht="14.4" customHeight="1" x14ac:dyDescent="0.25">
      <c r="A200" t="s">
        <v>602</v>
      </c>
      <c r="C200" t="s">
        <v>603</v>
      </c>
      <c r="D200" s="63"/>
      <c r="E200" s="82">
        <v>0</v>
      </c>
      <c r="F200" t="s">
        <v>25</v>
      </c>
      <c r="G200" s="63">
        <v>0</v>
      </c>
    </row>
    <row r="201" spans="1:7" ht="14.4" customHeight="1" x14ac:dyDescent="0.25">
      <c r="A201" t="s">
        <v>604</v>
      </c>
      <c r="C201" t="s">
        <v>605</v>
      </c>
      <c r="D201" s="63"/>
      <c r="E201" s="82">
        <v>0</v>
      </c>
      <c r="F201" t="s">
        <v>688</v>
      </c>
      <c r="G201" s="63">
        <v>0</v>
      </c>
    </row>
    <row r="202" spans="1:7" ht="14.4" customHeight="1" x14ac:dyDescent="0.25">
      <c r="A202" t="s">
        <v>606</v>
      </c>
      <c r="C202" t="s">
        <v>607</v>
      </c>
      <c r="D202" s="63"/>
      <c r="E202" s="82">
        <v>0</v>
      </c>
      <c r="F202" t="s">
        <v>25</v>
      </c>
      <c r="G202" s="63">
        <v>0</v>
      </c>
    </row>
    <row r="203" spans="1:7" ht="14.4" customHeight="1" x14ac:dyDescent="0.25">
      <c r="D203" s="63"/>
      <c r="E203" s="82"/>
      <c r="G203" s="63"/>
    </row>
    <row r="204" spans="1:7" ht="14.4" customHeight="1" x14ac:dyDescent="0.25">
      <c r="D204" s="63"/>
      <c r="E204" s="82"/>
      <c r="G204" s="63"/>
    </row>
    <row r="205" spans="1:7" ht="14.4" customHeight="1" x14ac:dyDescent="0.25">
      <c r="D205" s="63"/>
      <c r="E205" s="82"/>
      <c r="G205" s="63"/>
    </row>
    <row r="206" spans="1:7" ht="14.4" customHeight="1" x14ac:dyDescent="0.25">
      <c r="D206" s="63"/>
      <c r="E206" s="82"/>
      <c r="G206" s="63"/>
    </row>
    <row r="207" spans="1:7" ht="14.4" customHeight="1" x14ac:dyDescent="0.25">
      <c r="D207" s="63"/>
      <c r="E207" s="82"/>
      <c r="G207" s="63"/>
    </row>
    <row r="208" spans="1:7" ht="14.4" customHeight="1" x14ac:dyDescent="0.25">
      <c r="A208" s="138" t="s">
        <v>608</v>
      </c>
      <c r="B208" s="138"/>
      <c r="C208" s="138"/>
      <c r="D208" s="138"/>
      <c r="E208" s="82"/>
      <c r="G208" s="63"/>
    </row>
    <row r="209" spans="1:7" ht="14.4" customHeight="1" x14ac:dyDescent="0.25">
      <c r="A209" s="83" t="s">
        <v>609</v>
      </c>
      <c r="B209" s="83" t="s">
        <v>610</v>
      </c>
      <c r="C209" s="83" t="s">
        <v>611</v>
      </c>
      <c r="D209" s="84" t="s">
        <v>612</v>
      </c>
      <c r="E209" s="82"/>
      <c r="G209" s="63"/>
    </row>
    <row r="210" spans="1:7" ht="14.4" customHeight="1" x14ac:dyDescent="0.25">
      <c r="A210" t="s">
        <v>613</v>
      </c>
      <c r="B210" t="s">
        <v>25</v>
      </c>
      <c r="C210" t="s">
        <v>614</v>
      </c>
      <c r="D210" s="63" t="s">
        <v>615</v>
      </c>
      <c r="E210" s="82"/>
      <c r="G210" s="63"/>
    </row>
    <row r="211" spans="1:7" ht="14.4" customHeight="1" x14ac:dyDescent="0.25">
      <c r="A211" t="s">
        <v>616</v>
      </c>
      <c r="B211" t="s">
        <v>25</v>
      </c>
      <c r="C211" t="s">
        <v>614</v>
      </c>
      <c r="D211" s="63" t="s">
        <v>617</v>
      </c>
      <c r="E211" s="82"/>
      <c r="G211" s="63"/>
    </row>
    <row r="212" spans="1:7" ht="14.4" customHeight="1" x14ac:dyDescent="0.25">
      <c r="A212" t="s">
        <v>216</v>
      </c>
      <c r="B212" t="s">
        <v>25</v>
      </c>
      <c r="C212" t="s">
        <v>614</v>
      </c>
      <c r="D212" s="63" t="s">
        <v>617</v>
      </c>
      <c r="E212" s="82"/>
      <c r="G212" s="63"/>
    </row>
    <row r="213" spans="1:7" ht="14.4" customHeight="1" x14ac:dyDescent="0.25">
      <c r="A213" t="s">
        <v>618</v>
      </c>
      <c r="B213" t="s">
        <v>25</v>
      </c>
      <c r="C213" t="s">
        <v>614</v>
      </c>
      <c r="D213" s="63" t="s">
        <v>615</v>
      </c>
      <c r="E213" s="82"/>
      <c r="G213" s="63"/>
    </row>
    <row r="214" spans="1:7" ht="14.4" customHeight="1" x14ac:dyDescent="0.25">
      <c r="A214" t="s">
        <v>619</v>
      </c>
      <c r="B214" t="s">
        <v>25</v>
      </c>
      <c r="C214" t="s">
        <v>614</v>
      </c>
      <c r="D214" s="63" t="s">
        <v>617</v>
      </c>
      <c r="E214" s="82"/>
      <c r="G214" s="63"/>
    </row>
    <row r="215" spans="1:7" ht="14.4" customHeight="1" x14ac:dyDescent="0.25">
      <c r="A215" t="s">
        <v>234</v>
      </c>
      <c r="B215" t="s">
        <v>25</v>
      </c>
      <c r="C215" t="s">
        <v>614</v>
      </c>
      <c r="D215" s="63" t="s">
        <v>615</v>
      </c>
      <c r="E215" s="82"/>
      <c r="G215" s="63"/>
    </row>
    <row r="216" spans="1:7" ht="14.4" customHeight="1" x14ac:dyDescent="0.25">
      <c r="A216" t="s">
        <v>620</v>
      </c>
      <c r="B216" t="s">
        <v>25</v>
      </c>
      <c r="C216" t="s">
        <v>614</v>
      </c>
      <c r="D216" s="63" t="s">
        <v>615</v>
      </c>
      <c r="E216" s="82"/>
      <c r="G216" s="63"/>
    </row>
    <row r="217" spans="1:7" ht="14.4" customHeight="1" x14ac:dyDescent="0.25">
      <c r="A217" t="s">
        <v>621</v>
      </c>
      <c r="B217" t="s">
        <v>25</v>
      </c>
      <c r="C217" t="s">
        <v>614</v>
      </c>
      <c r="D217" s="63" t="s">
        <v>617</v>
      </c>
      <c r="E217" s="82"/>
      <c r="G217" s="63"/>
    </row>
    <row r="218" spans="1:7" ht="14.4" customHeight="1" x14ac:dyDescent="0.25">
      <c r="A218" t="s">
        <v>622</v>
      </c>
      <c r="B218" t="s">
        <v>25</v>
      </c>
      <c r="C218" t="s">
        <v>614</v>
      </c>
      <c r="D218" s="63" t="s">
        <v>615</v>
      </c>
      <c r="E218" s="82"/>
      <c r="G218" s="63"/>
    </row>
    <row r="219" spans="1:7" ht="14.4" customHeight="1" x14ac:dyDescent="0.25">
      <c r="A219" t="s">
        <v>623</v>
      </c>
      <c r="B219" t="s">
        <v>25</v>
      </c>
      <c r="C219" t="s">
        <v>614</v>
      </c>
      <c r="D219" s="63" t="s">
        <v>615</v>
      </c>
      <c r="E219" s="82"/>
      <c r="G219" s="63"/>
    </row>
    <row r="220" spans="1:7" ht="14.4" customHeight="1" x14ac:dyDescent="0.25">
      <c r="A220" t="s">
        <v>624</v>
      </c>
      <c r="B220" t="s">
        <v>25</v>
      </c>
      <c r="C220" t="s">
        <v>614</v>
      </c>
      <c r="D220" s="63" t="s">
        <v>615</v>
      </c>
      <c r="E220" s="82"/>
      <c r="G220" s="63"/>
    </row>
    <row r="221" spans="1:7" ht="14.4" customHeight="1" x14ac:dyDescent="0.25">
      <c r="A221" t="s">
        <v>625</v>
      </c>
      <c r="B221" t="s">
        <v>25</v>
      </c>
      <c r="C221" t="s">
        <v>614</v>
      </c>
      <c r="D221" s="63" t="s">
        <v>615</v>
      </c>
      <c r="E221" s="82"/>
      <c r="G221" s="63"/>
    </row>
    <row r="222" spans="1:7" ht="14.4" customHeight="1" x14ac:dyDescent="0.25">
      <c r="A222" t="s">
        <v>626</v>
      </c>
      <c r="B222" t="s">
        <v>25</v>
      </c>
      <c r="C222" t="s">
        <v>614</v>
      </c>
      <c r="D222" s="63" t="s">
        <v>615</v>
      </c>
      <c r="E222" s="82"/>
      <c r="G222" s="63"/>
    </row>
    <row r="223" spans="1:7" ht="14.4" customHeight="1" x14ac:dyDescent="0.25">
      <c r="A223" t="s">
        <v>627</v>
      </c>
      <c r="B223" t="s">
        <v>25</v>
      </c>
      <c r="C223" t="s">
        <v>614</v>
      </c>
      <c r="D223" s="63" t="s">
        <v>617</v>
      </c>
      <c r="E223" s="82"/>
      <c r="G223" s="63"/>
    </row>
    <row r="224" spans="1:7" ht="14.4" customHeight="1" x14ac:dyDescent="0.25">
      <c r="A224" t="s">
        <v>628</v>
      </c>
      <c r="B224" t="s">
        <v>25</v>
      </c>
      <c r="C224" t="s">
        <v>614</v>
      </c>
      <c r="D224" s="63" t="s">
        <v>615</v>
      </c>
      <c r="E224" s="82"/>
      <c r="G224" s="63"/>
    </row>
    <row r="225" spans="1:7" ht="14.4" customHeight="1" x14ac:dyDescent="0.25">
      <c r="A225" t="s">
        <v>629</v>
      </c>
      <c r="B225" t="s">
        <v>25</v>
      </c>
      <c r="C225" t="s">
        <v>614</v>
      </c>
      <c r="D225" s="63" t="s">
        <v>615</v>
      </c>
      <c r="E225" s="82"/>
      <c r="G225" s="63"/>
    </row>
    <row r="226" spans="1:7" ht="14.4" customHeight="1" x14ac:dyDescent="0.25">
      <c r="A226" t="s">
        <v>630</v>
      </c>
      <c r="B226" t="s">
        <v>25</v>
      </c>
      <c r="C226" t="s">
        <v>614</v>
      </c>
      <c r="D226" s="63" t="s">
        <v>615</v>
      </c>
      <c r="E226" s="82"/>
      <c r="G226" s="63"/>
    </row>
    <row r="227" spans="1:7" ht="14.4" customHeight="1" x14ac:dyDescent="0.25">
      <c r="A227" t="s">
        <v>631</v>
      </c>
      <c r="B227" t="s">
        <v>25</v>
      </c>
      <c r="C227" t="s">
        <v>614</v>
      </c>
      <c r="D227" s="63" t="s">
        <v>617</v>
      </c>
      <c r="E227" s="82"/>
      <c r="G227" s="63"/>
    </row>
    <row r="228" spans="1:7" ht="14.4" customHeight="1" x14ac:dyDescent="0.25">
      <c r="A228" t="s">
        <v>632</v>
      </c>
      <c r="B228" t="s">
        <v>25</v>
      </c>
      <c r="C228" t="s">
        <v>614</v>
      </c>
      <c r="D228" s="63" t="s">
        <v>615</v>
      </c>
      <c r="E228" s="82"/>
      <c r="G228" s="63"/>
    </row>
    <row r="229" spans="1:7" ht="14.4" customHeight="1" x14ac:dyDescent="0.25">
      <c r="A229" t="s">
        <v>633</v>
      </c>
      <c r="B229" t="s">
        <v>25</v>
      </c>
      <c r="C229" t="s">
        <v>614</v>
      </c>
      <c r="D229" s="63" t="s">
        <v>615</v>
      </c>
      <c r="E229" s="82"/>
      <c r="G229" s="63"/>
    </row>
    <row r="230" spans="1:7" ht="14.4" customHeight="1" x14ac:dyDescent="0.25">
      <c r="A230" t="s">
        <v>634</v>
      </c>
      <c r="B230" t="s">
        <v>25</v>
      </c>
      <c r="C230" t="s">
        <v>614</v>
      </c>
      <c r="D230" s="63" t="s">
        <v>617</v>
      </c>
      <c r="E230" s="82"/>
      <c r="G230" s="63"/>
    </row>
    <row r="231" spans="1:7" ht="14.4" customHeight="1" x14ac:dyDescent="0.25">
      <c r="A231" t="s">
        <v>635</v>
      </c>
      <c r="B231" t="s">
        <v>25</v>
      </c>
      <c r="C231" t="s">
        <v>614</v>
      </c>
      <c r="D231" s="63" t="s">
        <v>617</v>
      </c>
      <c r="E231" s="82"/>
      <c r="G231" s="63"/>
    </row>
    <row r="232" spans="1:7" ht="14.4" customHeight="1" x14ac:dyDescent="0.25">
      <c r="A232" t="s">
        <v>636</v>
      </c>
      <c r="B232" t="s">
        <v>25</v>
      </c>
      <c r="C232" t="s">
        <v>614</v>
      </c>
      <c r="D232" s="63" t="s">
        <v>617</v>
      </c>
      <c r="E232" s="82"/>
      <c r="G232" s="63"/>
    </row>
    <row r="233" spans="1:7" ht="14.4" customHeight="1" x14ac:dyDescent="0.25">
      <c r="A233" t="s">
        <v>637</v>
      </c>
      <c r="B233" t="s">
        <v>25</v>
      </c>
      <c r="C233" t="s">
        <v>614</v>
      </c>
      <c r="D233" s="63" t="s">
        <v>617</v>
      </c>
      <c r="E233" s="82"/>
      <c r="G233" s="63"/>
    </row>
    <row r="234" spans="1:7" ht="14.4" customHeight="1" x14ac:dyDescent="0.25">
      <c r="A234" t="s">
        <v>638</v>
      </c>
      <c r="B234" t="s">
        <v>25</v>
      </c>
      <c r="C234" t="s">
        <v>614</v>
      </c>
      <c r="D234" s="63" t="s">
        <v>617</v>
      </c>
      <c r="E234" s="82"/>
      <c r="G234" s="63"/>
    </row>
    <row r="235" spans="1:7" ht="14.4" customHeight="1" x14ac:dyDescent="0.25">
      <c r="A235" t="s">
        <v>639</v>
      </c>
      <c r="B235" t="s">
        <v>25</v>
      </c>
      <c r="C235" t="s">
        <v>614</v>
      </c>
      <c r="D235" s="63" t="s">
        <v>617</v>
      </c>
      <c r="E235" s="82"/>
      <c r="G235" s="63"/>
    </row>
    <row r="236" spans="1:7" ht="14.4" customHeight="1" x14ac:dyDescent="0.25">
      <c r="A236" t="s">
        <v>640</v>
      </c>
      <c r="B236" t="s">
        <v>25</v>
      </c>
      <c r="C236" t="s">
        <v>614</v>
      </c>
      <c r="D236" s="63" t="s">
        <v>617</v>
      </c>
      <c r="E236" s="82"/>
      <c r="G236" s="63"/>
    </row>
    <row r="237" spans="1:7" ht="14.4" customHeight="1" x14ac:dyDescent="0.25">
      <c r="D237" s="63"/>
      <c r="E237" s="82"/>
      <c r="G237" s="63"/>
    </row>
    <row r="238" spans="1:7" ht="14.4" customHeight="1" x14ac:dyDescent="0.25">
      <c r="D238" s="63"/>
      <c r="E238" s="82"/>
      <c r="G238" s="63"/>
    </row>
    <row r="239" spans="1:7" ht="14.4" customHeight="1" x14ac:dyDescent="0.25">
      <c r="D239" s="63"/>
      <c r="E239" s="82"/>
      <c r="G239" s="63"/>
    </row>
    <row r="240" spans="1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208:D208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54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55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56</v>
      </c>
      <c r="B3" s="115"/>
      <c r="C3" s="137" t="s">
        <v>57</v>
      </c>
      <c r="D3" s="115"/>
      <c r="E3" s="137" t="s">
        <v>58</v>
      </c>
      <c r="F3" s="115"/>
      <c r="G3" s="137" t="s">
        <v>59</v>
      </c>
      <c r="H3" s="115"/>
      <c r="I3" s="137" t="s">
        <v>60</v>
      </c>
      <c r="J3" s="115"/>
    </row>
    <row r="4" spans="1:10" ht="21.6" customHeight="1" x14ac:dyDescent="0.25">
      <c r="A4" s="57" t="s">
        <v>61</v>
      </c>
      <c r="B4" s="85">
        <v>0.87294099999999997</v>
      </c>
      <c r="C4" s="57" t="s">
        <v>36</v>
      </c>
      <c r="D4" s="86">
        <v>1.177</v>
      </c>
      <c r="E4" s="57" t="s">
        <v>41</v>
      </c>
      <c r="F4" s="85">
        <v>0</v>
      </c>
      <c r="G4" s="57" t="s">
        <v>42</v>
      </c>
      <c r="H4" s="85">
        <v>0.45830399999999999</v>
      </c>
      <c r="I4" s="57"/>
      <c r="J4" s="87"/>
    </row>
    <row r="5" spans="1:10" ht="15.75" customHeight="1" x14ac:dyDescent="0.25">
      <c r="A5" s="57" t="s">
        <v>62</v>
      </c>
      <c r="B5" s="85">
        <v>0.46157500000000001</v>
      </c>
      <c r="C5" s="57" t="s">
        <v>63</v>
      </c>
      <c r="D5" s="86">
        <v>1.1766000000000001</v>
      </c>
      <c r="E5" s="57" t="s">
        <v>64</v>
      </c>
      <c r="F5" s="86">
        <v>0</v>
      </c>
      <c r="G5" s="57" t="s">
        <v>65</v>
      </c>
      <c r="H5" s="85">
        <v>0.29666500000000001</v>
      </c>
      <c r="I5" s="57"/>
      <c r="J5" s="87"/>
    </row>
    <row r="6" spans="1:10" ht="15" customHeight="1" x14ac:dyDescent="0.25">
      <c r="A6" s="57" t="s">
        <v>66</v>
      </c>
      <c r="B6" s="85">
        <v>0.44924900000000001</v>
      </c>
      <c r="C6" s="57" t="s">
        <v>39</v>
      </c>
      <c r="D6" s="88">
        <v>2.0500000000000001E-2</v>
      </c>
      <c r="E6" s="57" t="s">
        <v>67</v>
      </c>
      <c r="F6" s="86">
        <v>170.87540000000001</v>
      </c>
      <c r="G6" s="57" t="s">
        <v>45</v>
      </c>
      <c r="H6" s="85">
        <v>0.11198499999999999</v>
      </c>
      <c r="I6" s="57"/>
      <c r="J6" s="87"/>
    </row>
    <row r="7" spans="1:10" ht="14.25" customHeight="1" x14ac:dyDescent="0.25">
      <c r="A7" s="57" t="s">
        <v>38</v>
      </c>
      <c r="B7" s="88">
        <v>5.5014826719611873</v>
      </c>
      <c r="C7" s="57" t="s">
        <v>68</v>
      </c>
      <c r="D7" s="88">
        <v>0</v>
      </c>
      <c r="E7" s="57" t="s">
        <v>69</v>
      </c>
      <c r="F7" s="86">
        <v>0.14990000000000001</v>
      </c>
      <c r="G7" s="57" t="s">
        <v>70</v>
      </c>
      <c r="H7" s="85">
        <v>1.9046E-2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6.4299999999999996E-2</v>
      </c>
      <c r="G8" s="57"/>
      <c r="H8" s="89"/>
      <c r="I8" s="57"/>
      <c r="J8" s="89"/>
    </row>
    <row r="9" spans="1:10" ht="13.5" customHeight="1" x14ac:dyDescent="0.25">
      <c r="A9" s="139" t="s">
        <v>72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73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74</v>
      </c>
      <c r="B11" s="115"/>
      <c r="C11" s="137" t="s">
        <v>75</v>
      </c>
      <c r="D11" s="115"/>
      <c r="E11" s="137" t="s">
        <v>76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77</v>
      </c>
      <c r="B12" s="91">
        <v>151.62526625999999</v>
      </c>
      <c r="C12" s="57" t="s">
        <v>78</v>
      </c>
      <c r="D12" s="88">
        <v>93.486153090000002</v>
      </c>
      <c r="E12" s="142" t="s">
        <v>79</v>
      </c>
      <c r="F12" s="115"/>
      <c r="G12" s="115"/>
      <c r="H12" s="143">
        <v>0</v>
      </c>
      <c r="I12" s="115"/>
      <c r="J12" s="115"/>
    </row>
    <row r="13" spans="1:10" ht="14.25" customHeight="1" x14ac:dyDescent="0.25">
      <c r="A13" s="57" t="s">
        <v>80</v>
      </c>
      <c r="B13" s="91">
        <v>0</v>
      </c>
      <c r="C13" s="57" t="s">
        <v>81</v>
      </c>
      <c r="D13" s="88">
        <v>70.641432609999995</v>
      </c>
      <c r="E13" s="142" t="s">
        <v>82</v>
      </c>
      <c r="F13" s="115"/>
      <c r="G13" s="115"/>
      <c r="H13" s="143">
        <v>9.0256884199999998</v>
      </c>
      <c r="I13" s="115"/>
      <c r="J13" s="115"/>
    </row>
    <row r="14" spans="1:10" ht="14.25" customHeight="1" x14ac:dyDescent="0.25">
      <c r="A14" s="57" t="s">
        <v>83</v>
      </c>
      <c r="B14" s="91">
        <v>12.772634399999999</v>
      </c>
      <c r="C14" s="57" t="s">
        <v>84</v>
      </c>
      <c r="D14" s="88">
        <v>50.641095839999998</v>
      </c>
      <c r="E14" s="142" t="s">
        <v>85</v>
      </c>
      <c r="F14" s="115"/>
      <c r="G14" s="115"/>
      <c r="H14" s="143">
        <v>339.44987411</v>
      </c>
      <c r="I14" s="115"/>
      <c r="J14" s="115"/>
    </row>
    <row r="15" spans="1:10" ht="14.25" customHeight="1" x14ac:dyDescent="0.25">
      <c r="A15" s="57" t="s">
        <v>86</v>
      </c>
      <c r="B15" s="91">
        <v>78.600539839999996</v>
      </c>
      <c r="C15" s="57" t="s">
        <v>87</v>
      </c>
      <c r="D15" s="88">
        <v>0</v>
      </c>
      <c r="E15" s="142" t="s">
        <v>88</v>
      </c>
      <c r="F15" s="115"/>
      <c r="G15" s="115"/>
      <c r="H15" s="143">
        <v>0</v>
      </c>
      <c r="I15" s="115"/>
      <c r="J15" s="115"/>
    </row>
    <row r="16" spans="1:10" ht="14.25" customHeight="1" x14ac:dyDescent="0.25">
      <c r="A16" s="57" t="s">
        <v>89</v>
      </c>
      <c r="B16" s="91">
        <v>0</v>
      </c>
      <c r="C16" s="57" t="s">
        <v>90</v>
      </c>
      <c r="D16" s="88">
        <v>15.40135918</v>
      </c>
      <c r="E16" s="142" t="s">
        <v>91</v>
      </c>
      <c r="F16" s="115"/>
      <c r="G16" s="115"/>
      <c r="H16" s="143">
        <v>8.4470995099999993</v>
      </c>
      <c r="I16" s="115"/>
      <c r="J16" s="115"/>
    </row>
    <row r="17" spans="1:10" ht="14.25" customHeight="1" x14ac:dyDescent="0.25">
      <c r="A17" s="57" t="s">
        <v>92</v>
      </c>
      <c r="B17" s="91">
        <v>0.45131083</v>
      </c>
      <c r="C17" s="57" t="s">
        <v>93</v>
      </c>
      <c r="D17" s="88">
        <v>0</v>
      </c>
      <c r="E17" s="142" t="s">
        <v>94</v>
      </c>
      <c r="F17" s="115"/>
      <c r="G17" s="115"/>
      <c r="H17" s="143">
        <v>429.13189087000001</v>
      </c>
      <c r="I17" s="115"/>
      <c r="J17" s="115"/>
    </row>
    <row r="18" spans="1:10" ht="14.25" customHeight="1" x14ac:dyDescent="0.25">
      <c r="A18" s="57" t="s">
        <v>95</v>
      </c>
      <c r="B18" s="91">
        <v>1771.1122861900001</v>
      </c>
      <c r="C18" s="57" t="s">
        <v>96</v>
      </c>
      <c r="D18" s="88">
        <v>27.734102159999999</v>
      </c>
      <c r="E18" s="142" t="s">
        <v>97</v>
      </c>
      <c r="F18" s="115"/>
      <c r="G18" s="115"/>
      <c r="H18" s="143">
        <v>-89.682016759999996</v>
      </c>
      <c r="I18" s="115"/>
      <c r="J18" s="115"/>
    </row>
    <row r="19" spans="1:10" ht="14.25" customHeight="1" x14ac:dyDescent="0.25">
      <c r="A19" s="57" t="s">
        <v>98</v>
      </c>
      <c r="B19" s="91">
        <v>286.18853565000001</v>
      </c>
      <c r="C19" s="57" t="s">
        <v>99</v>
      </c>
      <c r="D19" s="88">
        <v>27.706709140000001</v>
      </c>
      <c r="E19" s="142" t="s">
        <v>100</v>
      </c>
      <c r="F19" s="115"/>
      <c r="G19" s="115"/>
      <c r="H19" s="143">
        <v>-142.53051515999999</v>
      </c>
      <c r="I19" s="115"/>
      <c r="J19" s="115"/>
    </row>
    <row r="20" spans="1:10" ht="27" customHeight="1" x14ac:dyDescent="0.25">
      <c r="A20" s="57" t="s">
        <v>101</v>
      </c>
      <c r="B20" s="91">
        <v>163.57674964</v>
      </c>
      <c r="C20" s="57" t="s">
        <v>43</v>
      </c>
      <c r="D20" s="88">
        <v>19.985997080000001</v>
      </c>
      <c r="E20" s="142" t="s">
        <v>102</v>
      </c>
      <c r="F20" s="115"/>
      <c r="G20" s="115"/>
      <c r="H20" s="143">
        <v>26.4</v>
      </c>
      <c r="I20" s="115"/>
      <c r="J20" s="115"/>
    </row>
    <row r="21" spans="1:10" ht="16.5" customHeight="1" x14ac:dyDescent="0.25">
      <c r="A21" s="57" t="s">
        <v>103</v>
      </c>
      <c r="B21" s="91">
        <v>114.89287772</v>
      </c>
      <c r="C21" s="57"/>
      <c r="D21" s="92"/>
      <c r="E21" s="142" t="s">
        <v>104</v>
      </c>
      <c r="F21" s="115"/>
      <c r="G21" s="115"/>
      <c r="H21" s="143">
        <v>0</v>
      </c>
      <c r="I21" s="115"/>
      <c r="J21" s="115"/>
    </row>
    <row r="22" spans="1:10" ht="14.25" customHeight="1" x14ac:dyDescent="0.25">
      <c r="A22" s="57" t="s">
        <v>105</v>
      </c>
      <c r="B22" s="91">
        <v>410.74451751999999</v>
      </c>
      <c r="C22" s="57"/>
      <c r="D22" s="92"/>
      <c r="E22" s="142" t="s">
        <v>106</v>
      </c>
      <c r="F22" s="115"/>
      <c r="G22" s="115"/>
      <c r="H22" s="143">
        <v>368.39569574000001</v>
      </c>
      <c r="I22" s="115"/>
      <c r="J22" s="115"/>
    </row>
    <row r="23" spans="1:10" ht="14.25" customHeight="1" x14ac:dyDescent="0.25">
      <c r="A23" s="57" t="s">
        <v>107</v>
      </c>
      <c r="B23" s="91">
        <v>254.44768948000001</v>
      </c>
      <c r="C23" s="57"/>
      <c r="D23" s="92"/>
      <c r="E23" s="142" t="s">
        <v>108</v>
      </c>
      <c r="F23" s="115"/>
      <c r="G23" s="115"/>
      <c r="H23" s="143">
        <v>439.65979573999999</v>
      </c>
      <c r="I23" s="115"/>
      <c r="J23" s="115"/>
    </row>
    <row r="24" spans="1:10" ht="14.25" customHeight="1" x14ac:dyDescent="0.25">
      <c r="A24" s="57" t="s">
        <v>109</v>
      </c>
      <c r="B24" s="91">
        <v>1546.07612935</v>
      </c>
      <c r="C24" s="93"/>
      <c r="D24" s="90"/>
      <c r="E24" s="142" t="s">
        <v>110</v>
      </c>
      <c r="F24" s="115"/>
      <c r="G24" s="115"/>
      <c r="H24" s="143">
        <v>119.45</v>
      </c>
      <c r="I24" s="115"/>
      <c r="J24" s="115"/>
    </row>
    <row r="25" spans="1:10" ht="14.25" customHeight="1" x14ac:dyDescent="0.25">
      <c r="A25" s="57" t="s">
        <v>111</v>
      </c>
      <c r="B25" s="91">
        <v>225.03615683999999</v>
      </c>
      <c r="C25" s="93"/>
      <c r="D25" s="90"/>
      <c r="E25" s="142" t="s">
        <v>112</v>
      </c>
      <c r="F25" s="115"/>
      <c r="G25" s="115"/>
      <c r="H25" s="143">
        <v>120.6603434</v>
      </c>
      <c r="I25" s="115"/>
      <c r="J25" s="115"/>
    </row>
    <row r="26" spans="1:10" ht="14.25" customHeight="1" x14ac:dyDescent="0.25">
      <c r="A26" s="94" t="s">
        <v>113</v>
      </c>
      <c r="B26" s="91">
        <v>1771.1122861900001</v>
      </c>
      <c r="C26" s="93"/>
      <c r="D26" s="90"/>
      <c r="E26" s="142" t="s">
        <v>114</v>
      </c>
      <c r="F26" s="115"/>
      <c r="G26" s="115"/>
      <c r="H26" s="143">
        <v>318.99945234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641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679</v>
      </c>
      <c r="C2" s="43" t="s">
        <v>642</v>
      </c>
      <c r="D2" s="43" t="s">
        <v>691</v>
      </c>
      <c r="E2" s="43" t="s">
        <v>692</v>
      </c>
      <c r="F2" s="43" t="s">
        <v>693</v>
      </c>
      <c r="G2" s="43" t="s">
        <v>694</v>
      </c>
      <c r="H2" s="43" t="s">
        <v>695</v>
      </c>
      <c r="I2" s="43" t="s">
        <v>696</v>
      </c>
      <c r="J2" s="43" t="s">
        <v>697</v>
      </c>
    </row>
    <row r="3" spans="1:10" x14ac:dyDescent="0.25">
      <c r="A3" s="54" t="s">
        <v>24</v>
      </c>
      <c r="B3" s="96" t="s">
        <v>25</v>
      </c>
      <c r="C3" s="97" t="s">
        <v>643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680</v>
      </c>
      <c r="C4" s="97" t="s">
        <v>643</v>
      </c>
      <c r="D4" s="98" t="s">
        <v>698</v>
      </c>
      <c r="E4" s="98" t="s">
        <v>680</v>
      </c>
      <c r="F4" s="98" t="s">
        <v>699</v>
      </c>
      <c r="G4" s="98" t="s">
        <v>699</v>
      </c>
      <c r="H4" s="98" t="s">
        <v>700</v>
      </c>
      <c r="I4" s="98" t="s">
        <v>701</v>
      </c>
      <c r="J4" s="98" t="s">
        <v>699</v>
      </c>
    </row>
    <row r="5" spans="1:10" s="7" customFormat="1" x14ac:dyDescent="0.25">
      <c r="A5" s="9" t="s">
        <v>29</v>
      </c>
      <c r="B5" s="99" t="s">
        <v>30</v>
      </c>
      <c r="C5" s="97" t="s">
        <v>643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1771.1122861900001</v>
      </c>
      <c r="C6" s="97">
        <v>1405.5783247860857</v>
      </c>
      <c r="D6" s="100">
        <v>3003.9436300000002</v>
      </c>
      <c r="E6" s="100">
        <v>606.88801950970003</v>
      </c>
      <c r="F6" s="100">
        <v>882.03758400829997</v>
      </c>
      <c r="G6" s="100">
        <v>1320.1483845404</v>
      </c>
      <c r="H6" s="100">
        <v>1064.4508927019001</v>
      </c>
      <c r="I6" s="100">
        <v>763.51934877740007</v>
      </c>
      <c r="J6" s="100">
        <v>2198.0604139648999</v>
      </c>
    </row>
    <row r="7" spans="1:10" x14ac:dyDescent="0.25">
      <c r="A7" s="54" t="s">
        <v>34</v>
      </c>
      <c r="B7" s="44">
        <v>0.87294099999999997</v>
      </c>
      <c r="C7" s="97">
        <v>0.86203971428571435</v>
      </c>
      <c r="D7" s="44">
        <v>0.88210899999999992</v>
      </c>
      <c r="E7" s="44">
        <v>0.80438900000000002</v>
      </c>
      <c r="F7" s="44">
        <v>0.88364199999999993</v>
      </c>
      <c r="G7" s="44">
        <v>0.89213600000000004</v>
      </c>
      <c r="H7" s="44">
        <v>0.87721300000000002</v>
      </c>
      <c r="I7" s="44">
        <v>0.85396899999999998</v>
      </c>
      <c r="J7" s="44">
        <v>0.8408199999999999</v>
      </c>
    </row>
    <row r="8" spans="1:10" x14ac:dyDescent="0.25">
      <c r="A8" s="54" t="s">
        <v>36</v>
      </c>
      <c r="B8" s="100">
        <v>1.177</v>
      </c>
      <c r="C8" s="97">
        <v>0.58012857142857144</v>
      </c>
      <c r="D8" s="100">
        <v>0.74360000000000004</v>
      </c>
      <c r="E8" s="100">
        <v>1.3213999999999999</v>
      </c>
      <c r="F8" s="100">
        <v>0.71360000000000001</v>
      </c>
      <c r="G8" s="100">
        <v>0</v>
      </c>
      <c r="H8" s="100">
        <v>0</v>
      </c>
      <c r="I8" s="100">
        <v>0</v>
      </c>
      <c r="J8" s="100">
        <v>1.2823</v>
      </c>
    </row>
    <row r="9" spans="1:10" x14ac:dyDescent="0.25">
      <c r="A9" s="54" t="s">
        <v>38</v>
      </c>
      <c r="B9" s="96">
        <v>5.5014826719611873</v>
      </c>
      <c r="C9" s="97">
        <v>3.0458638484941614</v>
      </c>
      <c r="D9" s="96">
        <v>6.7407026378540698</v>
      </c>
      <c r="E9" s="96">
        <v>3.4672976835458975</v>
      </c>
      <c r="F9" s="96">
        <v>4.8382562885363543</v>
      </c>
      <c r="G9" s="96">
        <v>1.1424499886906132</v>
      </c>
      <c r="H9" s="96">
        <v>0.79737446070691531</v>
      </c>
      <c r="I9" s="96">
        <v>0.20963235449697701</v>
      </c>
      <c r="J9" s="96">
        <v>4.1253335256282995</v>
      </c>
    </row>
    <row r="10" spans="1:10" ht="21.6" customHeight="1" x14ac:dyDescent="0.25">
      <c r="A10" s="54" t="s">
        <v>39</v>
      </c>
      <c r="B10" s="100">
        <v>2.0500000000000001E-2</v>
      </c>
      <c r="C10" s="97">
        <v>2.4271428571428572E-2</v>
      </c>
      <c r="D10" s="100">
        <v>7.7799999999999994E-2</v>
      </c>
      <c r="E10" s="100">
        <v>3.44E-2</v>
      </c>
      <c r="F10" s="100">
        <v>2.64E-2</v>
      </c>
      <c r="G10" s="100">
        <v>0</v>
      </c>
      <c r="H10" s="100">
        <v>0</v>
      </c>
      <c r="I10" s="100">
        <v>0</v>
      </c>
      <c r="J10" s="100">
        <v>3.1300000000000001E-2</v>
      </c>
    </row>
    <row r="11" spans="1:10" x14ac:dyDescent="0.25">
      <c r="A11" s="54" t="s">
        <v>40</v>
      </c>
      <c r="B11" s="100">
        <v>93.486153090000002</v>
      </c>
      <c r="C11" s="97">
        <v>106.61793753172859</v>
      </c>
      <c r="D11" s="100">
        <v>359.34350999999998</v>
      </c>
      <c r="E11" s="100">
        <v>40.771669599799999</v>
      </c>
      <c r="F11" s="100">
        <v>55.425571461300002</v>
      </c>
      <c r="G11" s="100">
        <v>29.7071804011</v>
      </c>
      <c r="H11" s="100">
        <v>61.742357623300002</v>
      </c>
      <c r="I11" s="100">
        <v>26.533263660399999</v>
      </c>
      <c r="J11" s="100">
        <v>172.8020099762</v>
      </c>
    </row>
    <row r="12" spans="1:10" s="7" customFormat="1" x14ac:dyDescent="0.25">
      <c r="A12" s="9" t="s">
        <v>41</v>
      </c>
      <c r="B12" s="45">
        <v>0</v>
      </c>
      <c r="C12" s="97">
        <v>2.1743000000000001</v>
      </c>
      <c r="D12" s="45">
        <v>0.7288</v>
      </c>
      <c r="E12" s="45">
        <v>0.22869999999999999</v>
      </c>
      <c r="F12" s="45">
        <v>4.8604000000000003</v>
      </c>
      <c r="G12" s="45">
        <v>0</v>
      </c>
      <c r="H12" s="45">
        <v>0</v>
      </c>
      <c r="I12" s="45">
        <v>0</v>
      </c>
      <c r="J12" s="45">
        <v>9.4022000000000006</v>
      </c>
    </row>
    <row r="13" spans="1:10" s="7" customFormat="1" x14ac:dyDescent="0.25">
      <c r="A13" s="9" t="s">
        <v>42</v>
      </c>
      <c r="B13" s="45">
        <v>0.45830399999999999</v>
      </c>
      <c r="C13" s="97">
        <v>0.30741671428571432</v>
      </c>
      <c r="D13" s="45">
        <v>0.41137200000000002</v>
      </c>
      <c r="E13" s="45">
        <v>0.62148700000000001</v>
      </c>
      <c r="F13" s="45">
        <v>0.50889300000000004</v>
      </c>
      <c r="G13" s="45">
        <v>0</v>
      </c>
      <c r="H13" s="45">
        <v>0</v>
      </c>
      <c r="I13" s="45">
        <v>0</v>
      </c>
      <c r="J13" s="45">
        <v>0.61016499999999996</v>
      </c>
    </row>
    <row r="14" spans="1:10" s="7" customFormat="1" x14ac:dyDescent="0.25">
      <c r="A14" s="9" t="s">
        <v>43</v>
      </c>
      <c r="B14" s="101">
        <v>19.985997080000001</v>
      </c>
      <c r="C14" s="97">
        <v>21.401175361771429</v>
      </c>
      <c r="D14" s="101">
        <v>31.561260000000001</v>
      </c>
      <c r="E14" s="101">
        <v>12.512638248499998</v>
      </c>
      <c r="F14" s="101">
        <v>10.215646045</v>
      </c>
      <c r="G14" s="101">
        <v>16.2854935043</v>
      </c>
      <c r="H14" s="101">
        <v>26.036750611199999</v>
      </c>
      <c r="I14" s="101">
        <v>14.274556715399999</v>
      </c>
      <c r="J14" s="101">
        <v>38.921882408000002</v>
      </c>
    </row>
    <row r="15" spans="1:10" x14ac:dyDescent="0.25">
      <c r="A15" s="54" t="s">
        <v>45</v>
      </c>
      <c r="B15" s="44">
        <v>0.11198499999999999</v>
      </c>
      <c r="C15" s="97">
        <v>0.13157985714285711</v>
      </c>
      <c r="D15" s="44">
        <v>8.3789000000000002E-2</v>
      </c>
      <c r="E15" s="44">
        <v>0.11161599999999999</v>
      </c>
      <c r="F15" s="44">
        <v>0.11074299999999999</v>
      </c>
      <c r="G15" s="44">
        <v>0.128412</v>
      </c>
      <c r="H15" s="44">
        <v>0.221246</v>
      </c>
      <c r="I15" s="44">
        <v>0.13639099999999998</v>
      </c>
      <c r="J15" s="44">
        <v>0.128862</v>
      </c>
    </row>
    <row r="16" spans="1:10" s="7" customFormat="1" ht="25.8" customHeight="1" x14ac:dyDescent="0.25">
      <c r="A16" s="9" t="s">
        <v>46</v>
      </c>
      <c r="B16" s="101">
        <v>-89.682016759999996</v>
      </c>
      <c r="C16" s="97">
        <v>-53.801394592485721</v>
      </c>
      <c r="D16" s="101">
        <v>210.23230000000001</v>
      </c>
      <c r="E16" s="101">
        <v>-106.8250900216</v>
      </c>
      <c r="F16" s="101">
        <v>-123.40875424149999</v>
      </c>
      <c r="G16" s="101">
        <v>-89.279442043099991</v>
      </c>
      <c r="H16" s="101">
        <v>113.2593879476</v>
      </c>
      <c r="I16" s="101">
        <v>31.360020664899999</v>
      </c>
      <c r="J16" s="101">
        <v>-411.94818445370004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644</v>
      </c>
      <c r="B1" s="119"/>
      <c r="C1" s="119"/>
      <c r="D1" s="119"/>
      <c r="E1" s="119"/>
      <c r="F1" s="119"/>
    </row>
    <row r="2" spans="1:6" x14ac:dyDescent="0.25">
      <c r="A2" s="51" t="s">
        <v>645</v>
      </c>
      <c r="B2" s="50" t="s">
        <v>646</v>
      </c>
      <c r="C2" s="50" t="s">
        <v>647</v>
      </c>
      <c r="D2" s="50" t="s">
        <v>648</v>
      </c>
      <c r="E2" s="50" t="s">
        <v>612</v>
      </c>
      <c r="F2" s="50" t="s">
        <v>649</v>
      </c>
    </row>
    <row r="3" spans="1:6" ht="48" customHeight="1" x14ac:dyDescent="0.25">
      <c r="A3" s="53" t="s">
        <v>650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651</v>
      </c>
      <c r="B18" s="138"/>
      <c r="C18" s="138"/>
      <c r="D18" s="138"/>
      <c r="E18" s="138"/>
      <c r="F18" s="138"/>
    </row>
    <row r="19" spans="1:6" x14ac:dyDescent="0.25">
      <c r="A19" s="83" t="s">
        <v>645</v>
      </c>
      <c r="B19" s="83" t="s">
        <v>646</v>
      </c>
      <c r="C19" s="83" t="s">
        <v>652</v>
      </c>
      <c r="D19" s="83" t="s">
        <v>653</v>
      </c>
      <c r="E19" s="83" t="s">
        <v>612</v>
      </c>
      <c r="F19" s="83" t="s">
        <v>649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654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655</v>
      </c>
      <c r="B2" s="55" t="s">
        <v>656</v>
      </c>
      <c r="C2" s="55" t="s">
        <v>657</v>
      </c>
      <c r="D2" s="55" t="s">
        <v>658</v>
      </c>
      <c r="E2" s="55" t="s">
        <v>659</v>
      </c>
      <c r="F2" s="55" t="s">
        <v>660</v>
      </c>
      <c r="G2" s="55" t="s">
        <v>661</v>
      </c>
      <c r="H2" s="55" t="s">
        <v>16</v>
      </c>
      <c r="I2" s="55" t="s">
        <v>662</v>
      </c>
      <c r="J2" s="55" t="s">
        <v>663</v>
      </c>
      <c r="K2" s="55" t="s">
        <v>664</v>
      </c>
      <c r="L2" s="55" t="s">
        <v>665</v>
      </c>
      <c r="M2" s="55" t="s">
        <v>19</v>
      </c>
      <c r="N2" s="55" t="s">
        <v>666</v>
      </c>
      <c r="O2" s="3"/>
      <c r="P2" s="105" t="str">
        <f ca="1">Q2</f>
        <v>2019-04-16</v>
      </c>
      <c r="Q2" s="1" t="str">
        <f ca="1">[1]!td(R2-1)</f>
        <v>2019-04-16</v>
      </c>
      <c r="R2" s="3">
        <f ca="1">TODAY()</f>
        <v>43572</v>
      </c>
    </row>
    <row r="3" spans="1:18" ht="15.75" customHeight="1" x14ac:dyDescent="0.25">
      <c r="A3" s="106" t="str">
        <f>[1]!b_info_name(L3)</f>
        <v>19平安租赁SCP004</v>
      </c>
      <c r="B3" s="2" t="str">
        <f>[1]!b_issue_firstissue(L3)</f>
        <v>2019-04-18</v>
      </c>
      <c r="C3" s="106">
        <f>[1]!b_info_term(L3)</f>
        <v>0.1507</v>
      </c>
      <c r="D3" s="107" t="str">
        <f>[1]!issuerrating(L3)</f>
        <v>AAA</v>
      </c>
      <c r="E3" s="107" t="str">
        <f>[1]!b_info_creditrating(L3)</f>
        <v>-</v>
      </c>
      <c r="F3" s="106" t="str">
        <f>[1]!b_rate_creditratingagency(L3)</f>
        <v>中诚信国际信用评级有限责任公司</v>
      </c>
      <c r="G3" s="108">
        <f>[1]!b_agency_guarantor(L3)</f>
        <v>0</v>
      </c>
      <c r="H3" s="109" t="s">
        <v>667</v>
      </c>
      <c r="I3" s="65"/>
      <c r="J3" s="110" t="s">
        <v>667</v>
      </c>
      <c r="K3" s="111"/>
      <c r="L3" s="41" t="str">
        <f>公式页!A2</f>
        <v>d19041715.IB</v>
      </c>
      <c r="M3" s="109" t="s">
        <v>667</v>
      </c>
      <c r="N3" s="106" t="str">
        <f>[1]!b_agency_leadunderwriter(L3)</f>
        <v>中国光大银行股份有限公司</v>
      </c>
      <c r="P3" s="104" t="str">
        <f t="shared" ref="P3:P29" ca="1" si="0">$P$2</f>
        <v>2019-04-16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3.7423999999999999</v>
      </c>
      <c r="K4" s="111">
        <f>K3</f>
        <v>0</v>
      </c>
      <c r="L4" s="4" t="s">
        <v>668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2019-04-16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2019-04-16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2019-04-16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2019-04-16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2019-04-16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2019-04-16</v>
      </c>
    </row>
    <row r="10" spans="1:18" x14ac:dyDescent="0.25">
      <c r="P10" s="104" t="str">
        <f t="shared" ca="1" si="0"/>
        <v>2019-04-16</v>
      </c>
    </row>
    <row r="11" spans="1:18" x14ac:dyDescent="0.25">
      <c r="P11" s="104" t="str">
        <f t="shared" ca="1" si="0"/>
        <v>2019-04-16</v>
      </c>
    </row>
    <row r="12" spans="1:18" x14ac:dyDescent="0.25">
      <c r="A12" s="145" t="s">
        <v>669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2019-04-16</v>
      </c>
    </row>
    <row r="13" spans="1:18" s="1" customFormat="1" ht="43.2" customHeight="1" x14ac:dyDescent="0.25">
      <c r="A13" s="55" t="s">
        <v>655</v>
      </c>
      <c r="B13" s="55" t="s">
        <v>656</v>
      </c>
      <c r="C13" s="55" t="s">
        <v>657</v>
      </c>
      <c r="D13" s="55" t="s">
        <v>658</v>
      </c>
      <c r="E13" s="55" t="s">
        <v>659</v>
      </c>
      <c r="F13" s="55" t="s">
        <v>660</v>
      </c>
      <c r="G13" s="55" t="s">
        <v>661</v>
      </c>
      <c r="H13" s="55" t="s">
        <v>16</v>
      </c>
      <c r="I13" s="55" t="s">
        <v>662</v>
      </c>
      <c r="J13" s="55" t="s">
        <v>663</v>
      </c>
      <c r="K13" s="55" t="s">
        <v>664</v>
      </c>
      <c r="L13" s="55" t="s">
        <v>665</v>
      </c>
      <c r="M13" s="55" t="s">
        <v>19</v>
      </c>
      <c r="N13" s="55" t="s">
        <v>666</v>
      </c>
      <c r="P13" s="104" t="str">
        <f t="shared" ca="1" si="0"/>
        <v>2019-04-16</v>
      </c>
    </row>
    <row r="14" spans="1:18" ht="15.75" customHeight="1" x14ac:dyDescent="0.25">
      <c r="A14" s="106" t="str">
        <f>[1]!b_info_name(L14)</f>
        <v>19平安租赁SCP004</v>
      </c>
      <c r="B14" s="2" t="str">
        <f>[1]!b_issue_firstissue(L14)</f>
        <v>2019-04-18</v>
      </c>
      <c r="C14" s="106">
        <f>[1]!b_info_term(L14)</f>
        <v>0.1507</v>
      </c>
      <c r="D14" s="107" t="str">
        <f>[1]!issuerrating(L14)</f>
        <v>AAA</v>
      </c>
      <c r="E14" s="107" t="str">
        <f>[1]!b_info_creditrating(L14)</f>
        <v>-</v>
      </c>
      <c r="F14" s="106" t="str">
        <f>[1]!b_rate_creditratingagency(L14)</f>
        <v>中诚信国际信用评级有限责任公司</v>
      </c>
      <c r="G14" s="108">
        <f>[1]!b_agency_guarantor(L14)</f>
        <v>0</v>
      </c>
      <c r="H14" s="109" t="s">
        <v>667</v>
      </c>
      <c r="I14" s="65"/>
      <c r="J14" s="110" t="s">
        <v>667</v>
      </c>
      <c r="K14" s="111">
        <f>K3</f>
        <v>0</v>
      </c>
      <c r="L14" s="42" t="str">
        <f>L3</f>
        <v>d19041715.IB</v>
      </c>
      <c r="M14" s="109" t="s">
        <v>667</v>
      </c>
      <c r="N14" s="106" t="str">
        <f>[1]!b_agency_leadunderwriter(L14)</f>
        <v>中国光大银行股份有限公司</v>
      </c>
      <c r="P14" s="104" t="str">
        <f t="shared" ca="1" si="0"/>
        <v>2019-04-16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670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2019-04-16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671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2019-04-16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672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2019-04-16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673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2019-04-16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674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2019-04-16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675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2019-04-16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676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2019-04-16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677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2019-04-16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678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2019-04-16</v>
      </c>
    </row>
    <row r="24" spans="1:16" x14ac:dyDescent="0.25">
      <c r="P24" s="104" t="str">
        <f t="shared" ca="1" si="0"/>
        <v>2019-04-16</v>
      </c>
    </row>
    <row r="25" spans="1:16" x14ac:dyDescent="0.25">
      <c r="P25" s="104" t="str">
        <f t="shared" ca="1" si="0"/>
        <v>2019-04-16</v>
      </c>
    </row>
    <row r="26" spans="1:16" x14ac:dyDescent="0.25">
      <c r="P26" s="104" t="str">
        <f t="shared" ca="1" si="0"/>
        <v>2019-04-16</v>
      </c>
    </row>
    <row r="27" spans="1:16" x14ac:dyDescent="0.25">
      <c r="P27" s="104" t="str">
        <f t="shared" ca="1" si="0"/>
        <v>2019-04-16</v>
      </c>
    </row>
    <row r="28" spans="1:16" x14ac:dyDescent="0.25">
      <c r="P28" s="104" t="str">
        <f t="shared" ca="1" si="0"/>
        <v>2019-04-16</v>
      </c>
    </row>
    <row r="29" spans="1:16" x14ac:dyDescent="0.25">
      <c r="P29" s="104" t="str">
        <f t="shared" ca="1" si="0"/>
        <v>2019-04-16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2019-04-17T10:27:27Z</dcterms:modified>
</cp:coreProperties>
</file>