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8新券信评\"/>
    </mc:Choice>
  </mc:AlternateContent>
  <xr:revisionPtr revIDLastSave="0" documentId="13_ncr:1_{128F03D6-CA27-4F4D-AA1E-10C27DA3FF40}" xr6:coauthVersionLast="43" xr6:coauthVersionMax="43" xr10:uidLastSave="{00000000-0000-0000-0000-000000000000}"/>
  <bookViews>
    <workbookView xWindow="1848" yWindow="2748" windowWidth="17280" windowHeight="8964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G14" i="6"/>
  <c r="Q2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O23" i="6"/>
  <c r="F21" i="6"/>
  <c r="C20" i="6"/>
  <c r="M17" i="6"/>
  <c r="G16" i="6"/>
  <c r="D15" i="6"/>
  <c r="C14" i="6"/>
  <c r="H9" i="6"/>
  <c r="F7" i="6"/>
  <c r="G6" i="6"/>
  <c r="H5" i="6"/>
  <c r="G3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H23" i="6"/>
  <c r="B21" i="6"/>
  <c r="C16" i="6"/>
  <c r="C6" i="6"/>
  <c r="S141" i="1"/>
  <c r="S137" i="1"/>
  <c r="O134" i="1"/>
  <c r="S131" i="1"/>
  <c r="O128" i="1"/>
  <c r="M121" i="1"/>
  <c r="M119" i="1"/>
  <c r="M117" i="1"/>
  <c r="F112" i="1"/>
  <c r="M109" i="1"/>
  <c r="M103" i="1"/>
  <c r="B102" i="1"/>
  <c r="J101" i="1"/>
  <c r="Q100" i="1"/>
  <c r="F100" i="1"/>
  <c r="O99" i="1"/>
  <c r="D99" i="1"/>
  <c r="M98" i="1"/>
  <c r="B98" i="1"/>
  <c r="J97" i="1"/>
  <c r="Q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O19" i="6"/>
  <c r="M6" i="6"/>
  <c r="S139" i="1"/>
  <c r="M133" i="1"/>
  <c r="S127" i="1"/>
  <c r="M118" i="1"/>
  <c r="M111" i="1"/>
  <c r="Q103" i="1"/>
  <c r="D101" i="1"/>
  <c r="M100" i="1"/>
  <c r="Q98" i="1"/>
  <c r="F98" i="1"/>
  <c r="D97" i="1"/>
  <c r="F96" i="1"/>
  <c r="D95" i="1"/>
  <c r="B94" i="1"/>
  <c r="F92" i="1"/>
  <c r="D91" i="1"/>
  <c r="D23" i="6"/>
  <c r="N20" i="6"/>
  <c r="E18" i="6"/>
  <c r="O15" i="6"/>
  <c r="N9" i="6"/>
  <c r="B7" i="6"/>
  <c r="N5" i="6"/>
  <c r="C3" i="6"/>
  <c r="M140" i="1"/>
  <c r="M136" i="1"/>
  <c r="O133" i="1"/>
  <c r="O129" i="1"/>
  <c r="S111" i="1"/>
  <c r="D109" i="1"/>
  <c r="R103" i="1"/>
  <c r="G102" i="1"/>
  <c r="P101" i="1"/>
  <c r="E101" i="1"/>
  <c r="N100" i="1"/>
  <c r="C100" i="1"/>
  <c r="L99" i="1"/>
  <c r="R98" i="1"/>
  <c r="G98" i="1"/>
  <c r="P97" i="1"/>
  <c r="E97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E22" i="6"/>
  <c r="F17" i="6"/>
  <c r="E8" i="6"/>
  <c r="E4" i="6"/>
  <c r="S135" i="1"/>
  <c r="M129" i="1"/>
  <c r="M120" i="1"/>
  <c r="M116" i="1"/>
  <c r="F110" i="1"/>
  <c r="F102" i="1"/>
  <c r="O101" i="1"/>
  <c r="B100" i="1"/>
  <c r="J99" i="1"/>
  <c r="O97" i="1"/>
  <c r="M96" i="1"/>
  <c r="B96" i="1"/>
  <c r="F94" i="1"/>
  <c r="D93" i="1"/>
  <c r="B92" i="1"/>
  <c r="A22" i="6"/>
  <c r="M138" i="1"/>
  <c r="S128" i="1"/>
  <c r="S109" i="1"/>
  <c r="C102" i="1"/>
  <c r="P99" i="1"/>
  <c r="L97" i="1"/>
  <c r="G95" i="1"/>
  <c r="C93" i="1"/>
  <c r="F90" i="1"/>
  <c r="D89" i="1"/>
  <c r="B88" i="1"/>
  <c r="F86" i="1"/>
  <c r="D85" i="1"/>
  <c r="B84" i="1"/>
  <c r="F82" i="1"/>
  <c r="D81" i="1"/>
  <c r="B80" i="1"/>
  <c r="F78" i="1"/>
  <c r="D77" i="1"/>
  <c r="B76" i="1"/>
  <c r="F74" i="1"/>
  <c r="D73" i="1"/>
  <c r="B72" i="1"/>
  <c r="F70" i="1"/>
  <c r="D69" i="1"/>
  <c r="B68" i="1"/>
  <c r="F66" i="1"/>
  <c r="D65" i="1"/>
  <c r="B64" i="1"/>
  <c r="F62" i="1"/>
  <c r="D61" i="1"/>
  <c r="B60" i="1"/>
  <c r="F58" i="1"/>
  <c r="D57" i="1"/>
  <c r="B56" i="1"/>
  <c r="F54" i="1"/>
  <c r="D53" i="1"/>
  <c r="B52" i="1"/>
  <c r="F50" i="1"/>
  <c r="D49" i="1"/>
  <c r="B48" i="1"/>
  <c r="F46" i="1"/>
  <c r="D45" i="1"/>
  <c r="B44" i="1"/>
  <c r="F42" i="1"/>
  <c r="D41" i="1"/>
  <c r="B40" i="1"/>
  <c r="F38" i="1"/>
  <c r="D37" i="1"/>
  <c r="B36" i="1"/>
  <c r="F34" i="1"/>
  <c r="D33" i="1"/>
  <c r="B32" i="1"/>
  <c r="F30" i="1"/>
  <c r="O29" i="1"/>
  <c r="D29" i="1"/>
  <c r="M28" i="1"/>
  <c r="B28" i="1"/>
  <c r="J27" i="1"/>
  <c r="Q26" i="1"/>
  <c r="F26" i="1"/>
  <c r="O25" i="1"/>
  <c r="D25" i="1"/>
  <c r="M24" i="1"/>
  <c r="B24" i="1"/>
  <c r="J23" i="1"/>
  <c r="F22" i="1"/>
  <c r="O21" i="1"/>
  <c r="D21" i="1"/>
  <c r="M20" i="1"/>
  <c r="B20" i="1"/>
  <c r="J19" i="1"/>
  <c r="F18" i="1"/>
  <c r="O17" i="1"/>
  <c r="D17" i="1"/>
  <c r="C16" i="1"/>
  <c r="L15" i="1"/>
  <c r="G14" i="1"/>
  <c r="F10" i="1"/>
  <c r="B6" i="1"/>
  <c r="C91" i="1"/>
  <c r="C79" i="1"/>
  <c r="C75" i="1"/>
  <c r="G69" i="1"/>
  <c r="G65" i="1"/>
  <c r="G61" i="1"/>
  <c r="G57" i="1"/>
  <c r="E52" i="1"/>
  <c r="C47" i="1"/>
  <c r="G41" i="1"/>
  <c r="H19" i="6"/>
  <c r="D9" i="6"/>
  <c r="A4" i="6"/>
  <c r="S134" i="1"/>
  <c r="L101" i="1"/>
  <c r="E99" i="1"/>
  <c r="R96" i="1"/>
  <c r="C95" i="1"/>
  <c r="E92" i="1"/>
  <c r="E90" i="1"/>
  <c r="C89" i="1"/>
  <c r="G87" i="1"/>
  <c r="E86" i="1"/>
  <c r="C85" i="1"/>
  <c r="G83" i="1"/>
  <c r="E82" i="1"/>
  <c r="C81" i="1"/>
  <c r="G79" i="1"/>
  <c r="E78" i="1"/>
  <c r="C77" i="1"/>
  <c r="G75" i="1"/>
  <c r="E74" i="1"/>
  <c r="C73" i="1"/>
  <c r="G71" i="1"/>
  <c r="E70" i="1"/>
  <c r="C69" i="1"/>
  <c r="G67" i="1"/>
  <c r="E66" i="1"/>
  <c r="C65" i="1"/>
  <c r="G63" i="1"/>
  <c r="E62" i="1"/>
  <c r="C61" i="1"/>
  <c r="G59" i="1"/>
  <c r="E58" i="1"/>
  <c r="C57" i="1"/>
  <c r="G55" i="1"/>
  <c r="E54" i="1"/>
  <c r="C53" i="1"/>
  <c r="G51" i="1"/>
  <c r="E50" i="1"/>
  <c r="C49" i="1"/>
  <c r="G47" i="1"/>
  <c r="E46" i="1"/>
  <c r="C45" i="1"/>
  <c r="G43" i="1"/>
  <c r="E42" i="1"/>
  <c r="C41" i="1"/>
  <c r="G39" i="1"/>
  <c r="E38" i="1"/>
  <c r="C37" i="1"/>
  <c r="G35" i="1"/>
  <c r="E34" i="1"/>
  <c r="C33" i="1"/>
  <c r="G31" i="1"/>
  <c r="E30" i="1"/>
  <c r="N29" i="1"/>
  <c r="C29" i="1"/>
  <c r="L28" i="1"/>
  <c r="R27" i="1"/>
  <c r="G27" i="1"/>
  <c r="P26" i="1"/>
  <c r="E26" i="1"/>
  <c r="N25" i="1"/>
  <c r="C25" i="1"/>
  <c r="L24" i="1"/>
  <c r="R23" i="1"/>
  <c r="G23" i="1"/>
  <c r="E22" i="1"/>
  <c r="N21" i="1"/>
  <c r="C21" i="1"/>
  <c r="L20" i="1"/>
  <c r="R19" i="1"/>
  <c r="G19" i="1"/>
  <c r="E18" i="1"/>
  <c r="N17" i="1"/>
  <c r="C17" i="1"/>
  <c r="B16" i="1"/>
  <c r="J15" i="1"/>
  <c r="F14" i="1"/>
  <c r="B10" i="1"/>
  <c r="E5" i="1"/>
  <c r="G89" i="1"/>
  <c r="G77" i="1"/>
  <c r="E72" i="1"/>
  <c r="E68" i="1"/>
  <c r="C63" i="1"/>
  <c r="E60" i="1"/>
  <c r="C55" i="1"/>
  <c r="C51" i="1"/>
  <c r="E48" i="1"/>
  <c r="C43" i="1"/>
  <c r="B17" i="6"/>
  <c r="M132" i="1"/>
  <c r="R100" i="1"/>
  <c r="N98" i="1"/>
  <c r="L96" i="1"/>
  <c r="E94" i="1"/>
  <c r="G91" i="1"/>
  <c r="B90" i="1"/>
  <c r="F88" i="1"/>
  <c r="D87" i="1"/>
  <c r="B86" i="1"/>
  <c r="F84" i="1"/>
  <c r="D83" i="1"/>
  <c r="B82" i="1"/>
  <c r="F80" i="1"/>
  <c r="D79" i="1"/>
  <c r="B78" i="1"/>
  <c r="F76" i="1"/>
  <c r="D75" i="1"/>
  <c r="B74" i="1"/>
  <c r="F72" i="1"/>
  <c r="D71" i="1"/>
  <c r="B70" i="1"/>
  <c r="F68" i="1"/>
  <c r="D67" i="1"/>
  <c r="B66" i="1"/>
  <c r="F64" i="1"/>
  <c r="D63" i="1"/>
  <c r="B62" i="1"/>
  <c r="F60" i="1"/>
  <c r="D59" i="1"/>
  <c r="B58" i="1"/>
  <c r="F56" i="1"/>
  <c r="D55" i="1"/>
  <c r="B54" i="1"/>
  <c r="F52" i="1"/>
  <c r="D51" i="1"/>
  <c r="B50" i="1"/>
  <c r="F48" i="1"/>
  <c r="D47" i="1"/>
  <c r="B46" i="1"/>
  <c r="F44" i="1"/>
  <c r="D43" i="1"/>
  <c r="B42" i="1"/>
  <c r="F40" i="1"/>
  <c r="D39" i="1"/>
  <c r="B38" i="1"/>
  <c r="F36" i="1"/>
  <c r="D35" i="1"/>
  <c r="B34" i="1"/>
  <c r="F32" i="1"/>
  <c r="D31" i="1"/>
  <c r="B30" i="1"/>
  <c r="J29" i="1"/>
  <c r="Q28" i="1"/>
  <c r="F28" i="1"/>
  <c r="O27" i="1"/>
  <c r="D27" i="1"/>
  <c r="M26" i="1"/>
  <c r="B26" i="1"/>
  <c r="J25" i="1"/>
  <c r="Q24" i="1"/>
  <c r="F24" i="1"/>
  <c r="O23" i="1"/>
  <c r="D23" i="1"/>
  <c r="B22" i="1"/>
  <c r="J21" i="1"/>
  <c r="Q20" i="1"/>
  <c r="F20" i="1"/>
  <c r="O19" i="1"/>
  <c r="D19" i="1"/>
  <c r="B18" i="1"/>
  <c r="J17" i="1"/>
  <c r="G16" i="1"/>
  <c r="P15" i="1"/>
  <c r="E15" i="1"/>
  <c r="C14" i="1"/>
  <c r="F8" i="1"/>
  <c r="B4" i="1"/>
  <c r="A8" i="6"/>
  <c r="D5" i="6"/>
  <c r="M130" i="1"/>
  <c r="D111" i="1"/>
  <c r="N103" i="1"/>
  <c r="G100" i="1"/>
  <c r="C98" i="1"/>
  <c r="E96" i="1"/>
  <c r="G93" i="1"/>
  <c r="E88" i="1"/>
  <c r="C87" i="1"/>
  <c r="G85" i="1"/>
  <c r="E84" i="1"/>
  <c r="C83" i="1"/>
  <c r="G81" i="1"/>
  <c r="E80" i="1"/>
  <c r="E76" i="1"/>
  <c r="G73" i="1"/>
  <c r="C71" i="1"/>
  <c r="C67" i="1"/>
  <c r="E64" i="1"/>
  <c r="C59" i="1"/>
  <c r="E56" i="1"/>
  <c r="G53" i="1"/>
  <c r="G49" i="1"/>
  <c r="G45" i="1"/>
  <c r="E44" i="1"/>
  <c r="E40" i="1"/>
  <c r="C35" i="1"/>
  <c r="R29" i="1"/>
  <c r="N27" i="1"/>
  <c r="G25" i="1"/>
  <c r="C23" i="1"/>
  <c r="P20" i="1"/>
  <c r="R17" i="1"/>
  <c r="D15" i="1"/>
  <c r="R25" i="1"/>
  <c r="C19" i="1"/>
  <c r="C39" i="1"/>
  <c r="G33" i="1"/>
  <c r="G29" i="1"/>
  <c r="C27" i="1"/>
  <c r="P24" i="1"/>
  <c r="E20" i="1"/>
  <c r="G17" i="1"/>
  <c r="B14" i="1"/>
  <c r="E36" i="1"/>
  <c r="N23" i="1"/>
  <c r="O15" i="1"/>
  <c r="G37" i="1"/>
  <c r="E32" i="1"/>
  <c r="P28" i="1"/>
  <c r="L26" i="1"/>
  <c r="E24" i="1"/>
  <c r="R21" i="1"/>
  <c r="N19" i="1"/>
  <c r="F16" i="1"/>
  <c r="B8" i="1"/>
  <c r="C31" i="1"/>
  <c r="E28" i="1"/>
  <c r="G21" i="1"/>
  <c r="B120" i="1" l="1"/>
  <c r="L22" i="1"/>
  <c r="B122" i="1"/>
  <c r="R22" i="1"/>
  <c r="H124" i="1"/>
  <c r="H109" i="1"/>
  <c r="H118" i="1"/>
  <c r="B128" i="1"/>
  <c r="M22" i="1"/>
  <c r="B112" i="1"/>
  <c r="B119" i="1"/>
  <c r="H125" i="1"/>
  <c r="N22" i="1"/>
  <c r="H111" i="1"/>
  <c r="D119" i="1"/>
  <c r="D123" i="1"/>
  <c r="B126" i="1"/>
  <c r="B130" i="1"/>
  <c r="B111" i="1"/>
  <c r="H117" i="1"/>
  <c r="B123" i="1"/>
  <c r="H129" i="1"/>
  <c r="J22" i="1"/>
  <c r="Q22" i="1"/>
  <c r="B109" i="1"/>
  <c r="D118" i="1"/>
  <c r="H121" i="1"/>
  <c r="D124" i="1"/>
  <c r="H127" i="1"/>
  <c r="H131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2" i="6"/>
  <c r="P8" i="6"/>
  <c r="P4" i="6"/>
  <c r="P14" i="6"/>
  <c r="J8" i="6"/>
  <c r="J17" i="6"/>
  <c r="J9" i="6"/>
  <c r="J22" i="6"/>
  <c r="J15" i="6"/>
  <c r="J6" i="6"/>
  <c r="J23" i="6"/>
  <c r="J5" i="6"/>
  <c r="J18" i="6"/>
  <c r="J16" i="6"/>
  <c r="J21" i="6"/>
  <c r="J7" i="6"/>
  <c r="J20" i="6"/>
  <c r="J19" i="6"/>
</calcChain>
</file>

<file path=xl/sharedStrings.xml><?xml version="1.0" encoding="utf-8"?>
<sst xmlns="http://schemas.openxmlformats.org/spreadsheetml/2006/main" count="683" uniqueCount="314">
  <si>
    <t>d19041711.IB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</si>
  <si>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</si>
  <si>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</si>
  <si>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</si>
  <si>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</si>
  <si>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</si>
  <si>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</si>
  <si>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</si>
  <si>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</si>
  <si>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</si>
  <si>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</si>
  <si>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</si>
  <si>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</si>
  <si>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</si>
  <si>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</si>
  <si>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</si>
  <si>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</si>
  <si>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</si>
  <si>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</si>
  <si>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</si>
  <si>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</si>
  <si>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</si>
  <si>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</si>
  <si>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011802078.IB</t>
  </si>
  <si>
    <t>主体级别</t>
  </si>
  <si>
    <t>AA+</t>
  </si>
  <si>
    <t>101900116.IB</t>
  </si>
  <si>
    <t>*选择性黏贴</t>
  </si>
  <si>
    <t>101900124.IB</t>
  </si>
  <si>
    <t>数据年度</t>
  </si>
  <si>
    <t>2017年</t>
  </si>
  <si>
    <t>1480349.IB</t>
  </si>
  <si>
    <t>总资产</t>
  </si>
  <si>
    <t>101900119.IB</t>
  </si>
  <si>
    <t>负债率</t>
  </si>
  <si>
    <t>031900044.IB</t>
  </si>
  <si>
    <t>流动比率</t>
  </si>
  <si>
    <t>101801013.IB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</si>
  <si>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</si>
  <si>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</si>
  <si>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</si>
  <si>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</si>
  <si>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</si>
  <si>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</si>
  <si>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</si>
  <si>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</si>
  <si>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</si>
  <si>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</si>
  <si>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</si>
  <si>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</si>
  <si>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</si>
  <si>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</si>
  <si>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</si>
  <si>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</si>
  <si>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</si>
  <si>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</si>
  <si>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</si>
  <si>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</si>
  <si>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</si>
  <si>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</si>
  <si>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</si>
  <si>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</si>
  <si>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</si>
  <si>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</si>
  <si>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</si>
  <si>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</si>
  <si>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</si>
  <si>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</si>
  <si>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</si>
  <si>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</si>
  <si>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</si>
  <si>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</si>
  <si>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</si>
  <si>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</si>
  <si>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</si>
  <si>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</si>
  <si>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</si>
  <si>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</si>
  <si>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</si>
  <si>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</si>
  <si>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</si>
  <si>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</si>
  <si>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</si>
  <si>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</si>
  <si>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</si>
  <si>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</si>
  <si>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</si>
  <si>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</si>
  <si>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</si>
  <si>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</si>
  <si>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</si>
  <si>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</si>
  <si>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</si>
  <si>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</si>
  <si>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</si>
  <si>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</si>
  <si>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</si>
  <si>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</si>
  <si>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</si>
  <si>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</si>
  <si>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</si>
  <si>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</si>
  <si>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</si>
  <si>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</si>
  <si>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</si>
  <si>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</si>
  <si>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</si>
  <si>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</si>
  <si>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</si>
  <si>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</si>
  <si>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</si>
  <si>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</si>
  <si>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</si>
  <si>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</si>
  <si>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</si>
  <si>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</si>
  <si>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</si>
  <si>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</si>
  <si>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</si>
  <si>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</si>
  <si>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</si>
  <si>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101801348.IB</t>
  </si>
  <si>
    <t>20181119</t>
  </si>
  <si>
    <t>18芜湖建设MTN002</t>
  </si>
  <si>
    <t>011801250.IB</t>
  </si>
  <si>
    <t>20180709</t>
  </si>
  <si>
    <t>18芜湖建设SCP001</t>
  </si>
  <si>
    <t>101800605.IB</t>
  </si>
  <si>
    <t>20180503</t>
  </si>
  <si>
    <t>18芜湖建设MTN001</t>
  </si>
  <si>
    <t>031800240.IB</t>
  </si>
  <si>
    <t>20180502</t>
  </si>
  <si>
    <t>18芜湖建设PPN002</t>
  </si>
  <si>
    <t>031800164.IB</t>
  </si>
  <si>
    <t>20180322</t>
  </si>
  <si>
    <t>18芜湖建投PPN001</t>
  </si>
  <si>
    <t>101764071.IB</t>
  </si>
  <si>
    <t>20171025</t>
  </si>
  <si>
    <t>17芜湖建设MTN001</t>
  </si>
  <si>
    <t>011754157.IB</t>
  </si>
  <si>
    <t>20170928</t>
  </si>
  <si>
    <t>17芜湖建设SCP001</t>
  </si>
  <si>
    <t>031658030.IB</t>
  </si>
  <si>
    <t>20161102</t>
  </si>
  <si>
    <t>16芜湖建设PPN002</t>
  </si>
  <si>
    <t>031658017.IB</t>
  </si>
  <si>
    <t>20160516</t>
  </si>
  <si>
    <t>16芜湖建设PPN001</t>
  </si>
  <si>
    <t>1680116.IB</t>
  </si>
  <si>
    <t>20160318</t>
  </si>
  <si>
    <t>16鸠江建投债</t>
  </si>
  <si>
    <t>127412.SH</t>
  </si>
  <si>
    <t>PR鸠江债</t>
  </si>
  <si>
    <t>127287.SH</t>
  </si>
  <si>
    <t>20151103</t>
  </si>
  <si>
    <t>PR芜新投</t>
  </si>
  <si>
    <t>1580247.IB</t>
  </si>
  <si>
    <t>15芜湖新马债</t>
  </si>
  <si>
    <t>101560062.IB</t>
  </si>
  <si>
    <t>20151022</t>
  </si>
  <si>
    <t>15芜湖建投MTN001</t>
  </si>
  <si>
    <t>124642.SH</t>
  </si>
  <si>
    <t>20140414</t>
  </si>
  <si>
    <t>PR鸠建投</t>
  </si>
  <si>
    <t>1480124.IB</t>
  </si>
  <si>
    <t>14鸠江建投债</t>
  </si>
  <si>
    <t>1280392.IB</t>
  </si>
  <si>
    <t>20121114</t>
  </si>
  <si>
    <t>12芜湖新马债</t>
  </si>
  <si>
    <t>124087.SH</t>
  </si>
  <si>
    <t>PR芜新马</t>
  </si>
  <si>
    <t>1280209.IB</t>
  </si>
  <si>
    <t>20120719</t>
  </si>
  <si>
    <t>12芜中小债</t>
  </si>
  <si>
    <t>122635.SH</t>
  </si>
  <si>
    <t>20120608</t>
  </si>
  <si>
    <t>PR芜开02</t>
  </si>
  <si>
    <t>122634.SH</t>
  </si>
  <si>
    <t>PR芜开01</t>
  </si>
  <si>
    <t>1280171.IB</t>
  </si>
  <si>
    <t>12芜湖经开债01</t>
  </si>
  <si>
    <t>1280172.IB</t>
  </si>
  <si>
    <t>12芜湖经开债02</t>
  </si>
  <si>
    <t>1280076.IB</t>
  </si>
  <si>
    <t>20120326</t>
  </si>
  <si>
    <t>12芜湖建投债01</t>
  </si>
  <si>
    <t>1280077.IB</t>
  </si>
  <si>
    <t>12芜湖建投债02</t>
  </si>
  <si>
    <t>1080096.IB</t>
  </si>
  <si>
    <t>20100825</t>
  </si>
  <si>
    <t>10芜湖经开债</t>
  </si>
  <si>
    <t>122896.SH</t>
  </si>
  <si>
    <t>10芜开债</t>
  </si>
  <si>
    <t>1080080.IB</t>
  </si>
  <si>
    <t>20100722</t>
  </si>
  <si>
    <t>10芜湖建投债02</t>
  </si>
  <si>
    <t>122907.SH</t>
  </si>
  <si>
    <t>10芜投02</t>
  </si>
  <si>
    <t>122906.SH</t>
  </si>
  <si>
    <t>10芜投01</t>
  </si>
  <si>
    <t>1080079.IB</t>
  </si>
  <si>
    <t>10芜湖建投债01</t>
  </si>
  <si>
    <t>098030.IB</t>
  </si>
  <si>
    <t>20090323</t>
  </si>
  <si>
    <t>09芜湖建投债</t>
  </si>
  <si>
    <t>078044.IB</t>
  </si>
  <si>
    <t>20070827</t>
  </si>
  <si>
    <t>07芜湖建投债</t>
  </si>
  <si>
    <t>历史主体评级</t>
  </si>
  <si>
    <t>发布日期</t>
  </si>
  <si>
    <t>主体资信级别</t>
  </si>
  <si>
    <t>评级展望</t>
  </si>
  <si>
    <t>评级机构</t>
  </si>
  <si>
    <t>20180726</t>
  </si>
  <si>
    <t>稳定</t>
  </si>
  <si>
    <t>中诚信国际信用评级有限责任公司</t>
  </si>
  <si>
    <t>20180706</t>
  </si>
  <si>
    <t>20180628</t>
  </si>
  <si>
    <t>大公国际资信评估有限公司</t>
  </si>
  <si>
    <t>20180403</t>
  </si>
  <si>
    <t>20170804</t>
  </si>
  <si>
    <t>20170626</t>
  </si>
  <si>
    <t>20170623</t>
  </si>
  <si>
    <t>东方金诚国际信用评估有限公司</t>
  </si>
  <si>
    <t>20160624</t>
  </si>
  <si>
    <t>AA</t>
  </si>
  <si>
    <t>20150924</t>
  </si>
  <si>
    <t>20150717</t>
  </si>
  <si>
    <t>--</t>
  </si>
  <si>
    <t>20150626</t>
  </si>
  <si>
    <t>20150619</t>
  </si>
  <si>
    <t>20150430</t>
  </si>
  <si>
    <t>20140630</t>
  </si>
  <si>
    <t>20140627</t>
  </si>
  <si>
    <t>20140121</t>
  </si>
  <si>
    <t>20130626</t>
  </si>
  <si>
    <t>20120827</t>
  </si>
  <si>
    <t>正面</t>
  </si>
  <si>
    <t>20120628</t>
  </si>
  <si>
    <t>20110630</t>
  </si>
  <si>
    <t>20110613</t>
  </si>
  <si>
    <t>20101018</t>
  </si>
  <si>
    <t>20100707</t>
  </si>
  <si>
    <t>20100428</t>
  </si>
  <si>
    <t>20100111</t>
  </si>
  <si>
    <t>20090206</t>
  </si>
  <si>
    <t>20080911</t>
  </si>
  <si>
    <t>20070608</t>
  </si>
  <si>
    <t>同行业发债主体财务指标一览</t>
  </si>
  <si>
    <t>同评级可比公司平均水平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</si>
  <si>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</si>
  <si>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</si>
  <si>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</si>
  <si>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</si>
  <si>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</si>
  <si>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</si>
  <si>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宁国市国有资产投资运营有限公司</t>
  </si>
  <si>
    <t>AA-稳定上调至AA稳定</t>
  </si>
  <si>
    <t>中证鹏元资信评估股份有限公司</t>
  </si>
  <si>
    <t>拥有丰富的土地资产，营业收入规模持续增长，得到股东和政府的支持。</t>
  </si>
  <si>
    <t>建安投资控股集团有限公司</t>
  </si>
  <si>
    <t>AA稳定上调至AA+稳定</t>
  </si>
  <si>
    <t>外部融资环境较好，营业收入持续增长，类金融板块业务开展较好。</t>
  </si>
  <si>
    <t>宿州市新区建设投资集团有限公司</t>
  </si>
  <si>
    <t>宿州市地区经济保持较快增长，经济实力仍很强，宿州经开区主导产业发展较快，招商引资进展顺利，发展态势良好。公司继续从事宿州经开区基础设施建设，业务仍具有很强的区域专营性。作为宿州经开区最重要的基础设施建设主体，公司在财政补贴方面继续获得股东的支持。</t>
  </si>
  <si>
    <t>南陵县建设投资有限责任公司</t>
  </si>
  <si>
    <t>鹏元资信评估有限公司</t>
  </si>
  <si>
    <t>2017年南陵县取得了良好的经济发展成果，为公司发展提供了良好基础，公司实现主营业务收入12.66医院，同比增加11.52%，公司盈利状况良好，业务持续性较好。政府置换及股东投入资本金增加，公司实力得到了提升。</t>
  </si>
  <si>
    <t>宣城市国有资产投资有限公司</t>
  </si>
  <si>
    <t>联合资信评估有限公司</t>
  </si>
  <si>
    <t>宣城市经济较快增长，地方财政实力有所增强，为公司营造了良好的外部发展环境。公司作为宣城市唯一的市级基础设施建设主体和国有资产运营主体，在跟踪期内持续获得政府在资产划转、财政补贴等多方面的大力支持。公司业务结构较为多元化，经营性业务收入对营业收入形成有效补充，收入实现质量好。公司土地储备规模较大，有望为公司带来持续较大规模的土地出让收入。跟踪期内，公司新增工程施工业务，预期将对公司收入规模有显著贡献。</t>
  </si>
  <si>
    <t>安徽乐行城市建设集团有限公司</t>
  </si>
  <si>
    <t>2017年，涡阳县地区生产总值等重要经济指标保持较快增长，二三产业占比继续提高，经济实力持续增强，公司主要从事涡阳县的基础设施及安置房建设，业务具有很强的区域专营性，公司在增资、资产划拨和财政补贴等方面继续得到股东的大力支持。股东的增资及无偿注入资本是的公司所有者权益有所增长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</si>
  <si>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</si>
  <si>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</si>
  <si>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</si>
  <si>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</si>
  <si>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</si>
  <si>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</si>
  <si>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</si>
  <si>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</si>
  <si>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</si>
  <si>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</si>
  <si>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</si>
  <si>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</si>
  <si>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</si>
  <si>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</si>
  <si>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</si>
  <si>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</si>
  <si>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</si>
  <si>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</si>
  <si>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</si>
  <si>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</si>
  <si>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</si>
  <si>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</si>
  <si>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</si>
  <si>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</si>
  <si>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</si>
  <si>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</si>
  <si>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</si>
  <si>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</si>
  <si>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芜湖市建设投资有限公司</t>
  </si>
  <si>
    <t>地方国有企业</t>
  </si>
  <si>
    <t>工业--资本货物--综合类Ⅲ--综合类行业</t>
  </si>
  <si>
    <t>安徽省芜湖市鸠江区皖江财富广场A1#楼1002室</t>
  </si>
  <si>
    <t>公司是芜湖市经营规模最大的国有独资公司，是芜湖市政府重点扶持的资产运营主体，在芜湖市的基础设施建设和国有资产管理方面具有重要的优势地位。公司目前在市国有资产监督管理委员会(以下简称“市国资委”)的领导下开展工作，并接受市国资委的监督。其主要职能是接受政府委托，统一授权经营市属国有资产和国有股权，对授权经营的国有资产承担保值增值责任；根据芜湖市国资委的决定，承担城市基础设施项目建设和运营任务，并接受市国资委的监督考核。根据芜湖市相关文件，公司具体实施土地收储、拆迁、平整和拍卖前期的工作，这决定了公司在芜湖市一级经营性土地收储、出让领域的垄断地位，在土地储备上具有很强优势。随着芜湖市城市建设的进一步加快，充足的土地储备将为公司未来收益水平的增长提供可靠保证。</t>
  </si>
  <si>
    <t>芜湖市国有资产监督管理委员会</t>
  </si>
  <si>
    <t/>
  </si>
  <si>
    <t>AAA</t>
  </si>
  <si>
    <t>安徽水利开发股份有限公司</t>
  </si>
  <si>
    <t>阜阳投资发展集团有限公司</t>
  </si>
  <si>
    <t>合肥市滨湖新区建设投资有限公司</t>
  </si>
  <si>
    <t>江东控股集团有限责任公司</t>
  </si>
  <si>
    <t>滁州市城市建设投资有限公司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</si>
</sst>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芜湖市建设投资有限公司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工业--资本货物--综合类Ⅲ--综合类行业</v>
      </c>
      <c r="C5" s="117"/>
      <c r="D5" s="57" t="s">
        <v>5</v>
      </c>
      <c r="E5" s="116" t="str">
        <f>[1]!b_issuer_regaddress(A2)</f>
        <v>安徽省芜湖市鸠江区皖江财富广场A1#楼1002室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公司是芜湖市经营规模最大的国有独资公司，是芜湖市政府重点扶持的资产运营主体，在芜湖市的基础设施建设和国有资产管理方面具有重要的优势地位。公司目前在市国有资产监督管理委员会(以下简称“市国资委”)的领导下开展工作，并接受市国资委的监督。其主要职能是接受政府委托，统一授权经营市属国有资产和国有股权，对授权经营的国有资产承担保值增值责任；根据芜湖市国资委的决定，承担城市基础设施项目建设和运营任务，并接受市国资委的监督考核。根据芜湖市相关文件，公司具体实施土地收储、拆迁、平整和拍卖前期的工作，这决定了公司在芜湖市一级经营性土地收储、出让领域的垄断地位，在土地储备上具有很强优势。随着芜湖市城市建设的进一步加快，充足的土地储备将为公司未来收益水平的增长提供可靠保证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芜湖市国有资产监督管理委员会</v>
      </c>
      <c r="C7" s="117"/>
      <c r="D7" s="117"/>
      <c r="E7" s="117"/>
      <c r="F7" s="60">
        <f>[1]!b_issuer_propofshareholder($A$2,"",1)%</f>
        <v>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>
        <f>[1]!b_issuer_shareholder(A2,"",2)</f>
        <v>0</v>
      </c>
      <c r="C8" s="117"/>
      <c r="D8" s="117"/>
      <c r="E8" s="117"/>
      <c r="F8" s="60">
        <f>[1]!b_issuer_propofshareholder($A$2,"",2)%</f>
        <v>0</v>
      </c>
      <c r="G8" s="59"/>
      <c r="H8" s="20"/>
      <c r="M8" s="25"/>
      <c r="O8" s="25"/>
      <c r="P8" s="62"/>
    </row>
    <row r="9" spans="1:20" s="17" customFormat="1" x14ac:dyDescent="0.25">
      <c r="A9" s="58"/>
      <c r="B9" s="119">
        <f>[1]!b_issuer_shareholder(A2,"",3)</f>
        <v>0</v>
      </c>
      <c r="C9" s="117"/>
      <c r="D9" s="117"/>
      <c r="E9" s="117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d19041711.IB</v>
      </c>
      <c r="K14" s="26"/>
      <c r="L14" s="27" t="str">
        <f>T15</f>
        <v>011802078.IB</v>
      </c>
      <c r="M14" s="27" t="str">
        <f>T16</f>
        <v>101900116.IB</v>
      </c>
      <c r="N14" s="27" t="str">
        <f>T17</f>
        <v>101900124.IB</v>
      </c>
      <c r="O14" s="27" t="str">
        <f>T18</f>
        <v>1480349.IB</v>
      </c>
      <c r="P14" s="27" t="str">
        <f>T19</f>
        <v>101900119.IB</v>
      </c>
      <c r="Q14" s="27" t="str">
        <f>T20</f>
        <v>031900044.IB</v>
      </c>
      <c r="R14" s="5" t="str">
        <f>T21</f>
        <v>101801013.IB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芜湖市建设投资有限公司</v>
      </c>
      <c r="K15" s="135"/>
      <c r="L15" s="8" t="str">
        <f>[1]!b_info_issuer(L14)</f>
        <v>建安投资控股集团有限公司</v>
      </c>
      <c r="M15" s="8" t="str">
        <f>[1]!b_info_issuer(M14)</f>
        <v>安徽水利开发股份有限公司</v>
      </c>
      <c r="N15" s="8" t="str">
        <f>[1]!b_info_issuer(N14)</f>
        <v>阜阳投资发展集团有限公司</v>
      </c>
      <c r="O15" s="8" t="str">
        <f>[1]!b_info_issuer(O14)</f>
        <v>合肥市滨湖新区建设投资有限公司</v>
      </c>
      <c r="P15" s="8" t="str">
        <f>[1]!b_info_issuer(P14)</f>
        <v>宣城市国有资产投资有限公司</v>
      </c>
      <c r="Q15" s="8" t="str">
        <f>[1]!b_info_issuer(Q14)</f>
        <v>江东控股集团有限责任公司</v>
      </c>
      <c r="R15" s="8" t="str">
        <f>[1]!b_info_issuer(R14)</f>
        <v>滁州市城市建设投资有限公司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AA+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929.77270563410002</v>
      </c>
      <c r="K19" s="121"/>
      <c r="L19" s="67">
        <f>[1]!b_stm07_bs(L14,74,L13,1)/100000000</f>
        <v>1198.8348792116999</v>
      </c>
      <c r="M19" s="67">
        <f>[1]!b_stm07_bs(M14,74,M13,1)/100000000</f>
        <v>635.0746772471</v>
      </c>
      <c r="N19" s="67">
        <f>[1]!b_stm07_bs(N14,74,N13,1)/100000000</f>
        <v>1320.986143507</v>
      </c>
      <c r="O19" s="67">
        <f>[1]!b_stm07_bs(O14,74,O13,1)/100000000</f>
        <v>401.4854627858</v>
      </c>
      <c r="P19" s="67">
        <f>[1]!b_stm07_bs(P14,74,P13,1)/100000000</f>
        <v>466.66765742339999</v>
      </c>
      <c r="Q19" s="67">
        <f>[1]!b_stm07_bs(Q14,74,Q13,1)/100000000</f>
        <v>906.26584473850005</v>
      </c>
      <c r="R19" s="67">
        <f>[1]!b_stm07_bs(R14,74,R13,1)/100000000</f>
        <v>757.59535122710008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0.55661700000000003</v>
      </c>
      <c r="K20" s="121"/>
      <c r="L20" s="10">
        <f>[1]!s_fa_debttoassets(L14,L13)/100</f>
        <v>0.62495100000000003</v>
      </c>
      <c r="M20" s="10">
        <f>[1]!s_fa_debttoassets(M14,M13)/100</f>
        <v>0.86082899999999996</v>
      </c>
      <c r="N20" s="10">
        <f>[1]!s_fa_debttoassets(N14,N13)/100</f>
        <v>0.62800100000000003</v>
      </c>
      <c r="O20" s="10">
        <f>[1]!s_fa_debttoassets(O14,O13)/100</f>
        <v>0.39147500000000002</v>
      </c>
      <c r="P20" s="10">
        <f>[1]!s_fa_debttoassets(P14,P13)/100</f>
        <v>0.516405</v>
      </c>
      <c r="Q20" s="10">
        <f>[1]!s_fa_debttoassets(Q14,Q13)/100</f>
        <v>0.60053100000000004</v>
      </c>
      <c r="R20" s="10">
        <f>[1]!s_fa_debttoassets(R14,R13)/100</f>
        <v>0.32303700000000002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2.2309999999999999</v>
      </c>
      <c r="K21" s="121"/>
      <c r="L21" s="67">
        <f>[1]!s_fa_current(L14,L13)</f>
        <v>4.7351000000000001</v>
      </c>
      <c r="M21" s="67">
        <f>[1]!s_fa_current(M14,M13)</f>
        <v>1.1624000000000001</v>
      </c>
      <c r="N21" s="67">
        <f>[1]!s_fa_current(N14,N13)</f>
        <v>7.0338000000000003</v>
      </c>
      <c r="O21" s="67">
        <f>[1]!s_fa_current(O14,O13)</f>
        <v>4.1192000000000002</v>
      </c>
      <c r="P21" s="67">
        <f>[1]!s_fa_current(P14,P13)</f>
        <v>2.1448999999999998</v>
      </c>
      <c r="Q21" s="67">
        <f>[1]!s_fa_current(Q14,Q13)</f>
        <v>2.1366000000000001</v>
      </c>
      <c r="R21" s="67">
        <f>[1]!s_fa_current(R14,R13)</f>
        <v>5.9051999999999998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0.86471560209869325</v>
      </c>
      <c r="K22" s="121"/>
      <c r="L22" s="65">
        <f>(公式页!L96+公式页!L97+公式页!L98+公式页!L99+公式页!L100+公式页!L101)/公式页!L103</f>
        <v>1.1843262896268891</v>
      </c>
      <c r="M22" s="65">
        <f t="shared" ref="M22:R22" si="0">(M96+M97+M98+M99+M100+M101)/M103</f>
        <v>2.2695916360541921</v>
      </c>
      <c r="N22" s="65">
        <f t="shared" si="0"/>
        <v>1.4715905274977801</v>
      </c>
      <c r="O22" s="65">
        <f t="shared" si="0"/>
        <v>0.15789921956629782</v>
      </c>
      <c r="P22" s="65">
        <f t="shared" si="0"/>
        <v>0.80662932088784745</v>
      </c>
      <c r="Q22" s="65">
        <f t="shared" si="0"/>
        <v>0.95658854649672198</v>
      </c>
      <c r="R22" s="65">
        <f t="shared" si="0"/>
        <v>0.36362253313048354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1.77E-2</v>
      </c>
      <c r="K23" s="121"/>
      <c r="L23" s="67">
        <f>[1]!s_fa_ebitdatodebt(L14,L13)</f>
        <v>3.0300000000000001E-2</v>
      </c>
      <c r="M23" s="67">
        <f>[1]!s_fa_ebitdatodebt(M14,M13)</f>
        <v>3.3399999999999999E-2</v>
      </c>
      <c r="N23" s="67">
        <f>[1]!s_fa_ebitdatodebt(N14,N13)</f>
        <v>2.8500000000000001E-2</v>
      </c>
      <c r="O23" s="67">
        <f>[1]!s_fa_ebitdatodebt(O14,O13)</f>
        <v>0.25390000000000001</v>
      </c>
      <c r="P23" s="67">
        <f>[1]!s_fa_ebitdatodebt(P14,P13)</f>
        <v>6.6100000000000006E-2</v>
      </c>
      <c r="Q23" s="67">
        <f>[1]!s_fa_ebitdatodebt(Q14,Q13)</f>
        <v>5.21E-2</v>
      </c>
      <c r="R23" s="67">
        <f>[1]!s_fa_ebitdatodebt(R14,R13)</f>
        <v>0.1255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30.956120008800003</v>
      </c>
      <c r="K24" s="121"/>
      <c r="L24" s="67">
        <f>[1]!b_stm07_is(L14,9,L13,1)/100000000</f>
        <v>144.46699356969998</v>
      </c>
      <c r="M24" s="67">
        <f>[1]!b_stm07_is(M14,9,M13,1)/100000000</f>
        <v>354.57095131419999</v>
      </c>
      <c r="N24" s="67">
        <f>[1]!b_stm07_is(N14,9,N13,1)/100000000</f>
        <v>68.964834703400001</v>
      </c>
      <c r="O24" s="67">
        <f>[1]!b_stm07_is(O14,9,O13,1)/100000000</f>
        <v>55.766110660300001</v>
      </c>
      <c r="P24" s="67">
        <f>[1]!b_stm07_is(P14,9,P13,1)/100000000</f>
        <v>25.739543892499999</v>
      </c>
      <c r="Q24" s="67">
        <f>[1]!b_stm07_is(Q14,9,Q13,1)/100000000</f>
        <v>95.735067452400003</v>
      </c>
      <c r="R24" s="67">
        <f>[1]!b_stm07_is(R14,9,R13,1)/100000000</f>
        <v>56.709507507700003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1.2803</v>
      </c>
      <c r="K25" s="121"/>
      <c r="L25" s="11">
        <f>[1]!s_fa_salescashintoor(L14,L13)%</f>
        <v>0.41060000000000002</v>
      </c>
      <c r="M25" s="11">
        <f>[1]!s_fa_salescashintoor(M14,M13)%</f>
        <v>0.91990000000000005</v>
      </c>
      <c r="N25" s="11">
        <f>[1]!s_fa_salescashintoor(N14,N13)%</f>
        <v>1.0589999999999999</v>
      </c>
      <c r="O25" s="11">
        <f>[1]!s_fa_salescashintoor(O14,O13)%</f>
        <v>1.0449999999999999</v>
      </c>
      <c r="P25" s="11">
        <f>[1]!s_fa_salescashintoor(P14,P13)%</f>
        <v>0.78420000000000001</v>
      </c>
      <c r="Q25" s="11">
        <f>[1]!s_fa_salescashintoor(Q14,Q13)%</f>
        <v>0.72909999999999997</v>
      </c>
      <c r="R25" s="11">
        <f>[1]!s_fa_salescashintoor(R14,R13)%</f>
        <v>0.95469999999999999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7.9259999999999997E-2</v>
      </c>
      <c r="K26" s="121"/>
      <c r="L26" s="11">
        <f>[1]!s_fa_grossprofitmargin(L14,L13)%</f>
        <v>0.12872</v>
      </c>
      <c r="M26" s="11">
        <f>[1]!s_fa_grossprofitmargin(M14,M13)%</f>
        <v>0.10301199999999999</v>
      </c>
      <c r="N26" s="11">
        <f>[1]!s_fa_grossprofitmargin(N14,N13)%</f>
        <v>0.28867199999999998</v>
      </c>
      <c r="O26" s="11">
        <f>[1]!s_fa_grossprofitmargin(O14,O13)%</f>
        <v>0.74700100000000003</v>
      </c>
      <c r="P26" s="11">
        <f>[1]!s_fa_grossprofitmargin(P14,P13)%</f>
        <v>0.35880800000000002</v>
      </c>
      <c r="Q26" s="11">
        <f>[1]!s_fa_grossprofitmargin(Q14,Q13)%</f>
        <v>0.138214</v>
      </c>
      <c r="R26" s="11">
        <f>[1]!s_fa_grossprofitmargin(R14,R13)%</f>
        <v>0.37205800000000006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6.3835665434000006</v>
      </c>
      <c r="K27" s="121"/>
      <c r="L27" s="68">
        <f>[1]!b_stm07_is(L14,60,L13,1)/100000000</f>
        <v>9.3902593403000001</v>
      </c>
      <c r="M27" s="68">
        <f>[1]!b_stm07_is(M14,60,M13,1)/100000000</f>
        <v>7.8148274500000001</v>
      </c>
      <c r="N27" s="68">
        <f>[1]!b_stm07_is(N14,60,N13,1)/100000000</f>
        <v>12.061584098399999</v>
      </c>
      <c r="O27" s="68">
        <f>[1]!b_stm07_is(O14,60,O13,1)/100000000</f>
        <v>38.2115779903</v>
      </c>
      <c r="P27" s="68">
        <f>[1]!b_stm07_is(P14,60,P13,1)/100000000</f>
        <v>6.1875360725999995</v>
      </c>
      <c r="Q27" s="68">
        <f>[1]!b_stm07_is(Q14,60,Q13,1)/100000000</f>
        <v>6.6484512415999992</v>
      </c>
      <c r="R27" s="68">
        <f>[1]!b_stm07_is(R14,60,R13,1)/100000000</f>
        <v>24.527084094499997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1.8592000000000001E-2</v>
      </c>
      <c r="K28" s="121"/>
      <c r="L28" s="10">
        <f>[1]!s_fa_roe(L14,L13)%</f>
        <v>2.3156E-2</v>
      </c>
      <c r="M28" s="10">
        <f>[1]!s_fa_roe(M14,M13)%</f>
        <v>0.136713</v>
      </c>
      <c r="N28" s="10">
        <f>[1]!s_fa_roe(N14,N13)%</f>
        <v>3.1259000000000002E-2</v>
      </c>
      <c r="O28" s="10">
        <f>[1]!s_fa_roe(O14,O13)%</f>
        <v>0.16966999999999999</v>
      </c>
      <c r="P28" s="10">
        <f>[1]!s_fa_roe(P14,P13)%</f>
        <v>2.8414000000000002E-2</v>
      </c>
      <c r="Q28" s="10">
        <f>[1]!s_fa_roe(Q14,Q13)%</f>
        <v>1.7967999999999998E-2</v>
      </c>
      <c r="R28" s="10">
        <f>[1]!s_fa_roe(R14,R13)%</f>
        <v>5.1269000000000002E-2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3.0826848161</v>
      </c>
      <c r="K29" s="121"/>
      <c r="L29" s="68">
        <f>[1]!b_stm07_cs(L14,39,L13,1)/100000000</f>
        <v>6.2157603817</v>
      </c>
      <c r="M29" s="68">
        <f>[1]!b_stm07_cs(M14,39,M13,1)/100000000</f>
        <v>-92.312324576900011</v>
      </c>
      <c r="N29" s="68">
        <f>[1]!b_stm07_cs(N14,39,N13,1)/100000000</f>
        <v>-138.86911625850001</v>
      </c>
      <c r="O29" s="68">
        <f>[1]!b_stm07_cs(O14,39,O13,1)/100000000</f>
        <v>20.004438415300001</v>
      </c>
      <c r="P29" s="68">
        <f>[1]!b_stm07_cs(P14,39,P13,1)/100000000</f>
        <v>20.958003650399998</v>
      </c>
      <c r="Q29" s="68">
        <f>[1]!b_stm07_cs(Q14,39,Q13,1)/100000000</f>
        <v>7.7805294154999993</v>
      </c>
      <c r="R29" s="68">
        <f>[1]!b_stm07_cs(R14,39,R13,1)/100000000</f>
        <v>21.0467398497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1082551078.3099999</v>
      </c>
      <c r="K96" s="70"/>
      <c r="L96" s="70">
        <f>[1]!b_stm07_bs(L14,75,L13,1)</f>
        <v>629665000</v>
      </c>
      <c r="M96" s="70">
        <f>[1]!b_stm07_bs(M14,75,M13,1)</f>
        <v>6676165887.1499996</v>
      </c>
      <c r="N96" s="70">
        <f>[1]!b_stm07_bs(N14,75,N13,1)</f>
        <v>365000000</v>
      </c>
      <c r="O96" s="70">
        <f>[1]!b_stm07_bs(O14,75,O13,1)</f>
        <v>0</v>
      </c>
      <c r="P96" s="70">
        <f>[1]!b_stm07_bs(P14,75,P13,1)</f>
        <v>218154000</v>
      </c>
      <c r="Q96" s="70">
        <f>[1]!b_stm07_bs(Q14,75,Q13,1)</f>
        <v>2763000000</v>
      </c>
      <c r="R96" s="70">
        <f>[1]!b_stm07_bs(R14,75,R13,1)</f>
        <v>220000000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200807040.41</v>
      </c>
      <c r="K97" s="70"/>
      <c r="L97" s="70">
        <f>[1]!b_stm07_bs(L14,82,L13,1)</f>
        <v>388313947.22000003</v>
      </c>
      <c r="M97" s="70">
        <f>[1]!b_stm07_bs(M14,82,M13,1)</f>
        <v>67572602.450000003</v>
      </c>
      <c r="N97" s="70">
        <f>[1]!b_stm07_bs(N14,82,N13,1)</f>
        <v>435257353.13</v>
      </c>
      <c r="O97" s="70">
        <f>[1]!b_stm07_bs(O14,82,O13,1)</f>
        <v>49125989.740000002</v>
      </c>
      <c r="P97" s="70">
        <f>[1]!b_stm07_bs(P14,82,P13,1)</f>
        <v>324575464.50999999</v>
      </c>
      <c r="Q97" s="70">
        <f>[1]!b_stm07_bs(Q14,82,Q13,1)</f>
        <v>564368997.47000003</v>
      </c>
      <c r="R97" s="70">
        <f>[1]!b_stm07_bs(R14,82,R13,1)</f>
        <v>265752388.53999999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5573347100.5699997</v>
      </c>
      <c r="K98" s="70"/>
      <c r="L98" s="70">
        <f>[1]!b_stm07_bs(L14,88,L13,1)</f>
        <v>4731381894.1800003</v>
      </c>
      <c r="M98" s="70">
        <f>[1]!b_stm07_bs(M14,88,M13,1)</f>
        <v>2708264818.9200001</v>
      </c>
      <c r="N98" s="70">
        <f>[1]!b_stm07_bs(N14,88,N13,1)</f>
        <v>7569517552.9300003</v>
      </c>
      <c r="O98" s="70">
        <f>[1]!b_stm07_bs(O14,88,O13,1)</f>
        <v>639900000</v>
      </c>
      <c r="P98" s="70">
        <f>[1]!b_stm07_bs(P14,88,P13,1)</f>
        <v>4829686863.1400003</v>
      </c>
      <c r="Q98" s="70">
        <f>[1]!b_stm07_bs(Q14,88,Q13,1)</f>
        <v>4316971467.1700001</v>
      </c>
      <c r="R98" s="70">
        <f>[1]!b_stm07_bs(R14,88,R13,1)</f>
        <v>2266323725.9200001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21910767176.310001</v>
      </c>
      <c r="K100" s="70"/>
      <c r="L100" s="70">
        <f>[1]!b_stm07_bs(L14,94,L13,1)</f>
        <v>34874878341.790001</v>
      </c>
      <c r="M100" s="70">
        <f>[1]!b_stm07_bs(M14,94,M13,1)</f>
        <v>10357520000</v>
      </c>
      <c r="N100" s="70">
        <f>[1]!b_stm07_bs(N14,94,N13,1)</f>
        <v>57685047400</v>
      </c>
      <c r="O100" s="70">
        <f>[1]!b_stm07_bs(O14,94,O13,1)</f>
        <v>2371022957.4299998</v>
      </c>
      <c r="P100" s="70">
        <f>[1]!b_stm07_bs(P14,94,P13,1)</f>
        <v>5731453263.3100004</v>
      </c>
      <c r="Q100" s="70">
        <f>[1]!b_stm07_bs(Q14,94,Q13,1)</f>
        <v>10634077209.209999</v>
      </c>
      <c r="R100" s="70">
        <f>[1]!b_stm07_bs(R14,94,R13,1)</f>
        <v>6755457750.0600004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6880000000</v>
      </c>
      <c r="K101" s="70"/>
      <c r="L101" s="70">
        <f>[1]!b_stm07_bs(L14,95,L13,1)</f>
        <v>12625622013.23</v>
      </c>
      <c r="M101" s="70">
        <f>[1]!b_stm07_bs(M14,95,M13,1)</f>
        <v>250000000</v>
      </c>
      <c r="N101" s="70">
        <f>[1]!b_stm07_bs(N14,95,N13,1)</f>
        <v>6260000000</v>
      </c>
      <c r="O101" s="70">
        <f>[1]!b_stm07_bs(O14,95,O13,1)</f>
        <v>797651994.34000003</v>
      </c>
      <c r="P101" s="70">
        <f>[1]!b_stm07_bs(P14,95,P13,1)</f>
        <v>7100000000</v>
      </c>
      <c r="Q101" s="70">
        <f>[1]!b_stm07_bs(Q14,95,Q13,1)</f>
        <v>16352512123.34</v>
      </c>
      <c r="R101" s="70">
        <f>[1]!b_stm07_bs(R14,95,R13,1)</f>
        <v>9141344116.4699993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41224504691.580002</v>
      </c>
      <c r="K103" s="70"/>
      <c r="L103" s="70">
        <f>[1]!b_stm07_bs(L14,141,L13,1)</f>
        <v>44962154148.580002</v>
      </c>
      <c r="M103" s="70">
        <f>[1]!b_stm07_bs(M14,141,M13,1)</f>
        <v>8838384399.1399994</v>
      </c>
      <c r="N103" s="70">
        <f>[1]!b_stm07_bs(N14,141,N13,1)</f>
        <v>49140586973.620003</v>
      </c>
      <c r="O103" s="70">
        <f>[1]!b_stm07_bs(O14,141,O13,1)</f>
        <v>24431412340.77</v>
      </c>
      <c r="P103" s="70">
        <f>[1]!b_stm07_bs(P14,141,P13,1)</f>
        <v>22567825294.18</v>
      </c>
      <c r="Q103" s="70">
        <f>[1]!b_stm07_bs(Q14,141,Q13,1)</f>
        <v>36202534437.629997</v>
      </c>
      <c r="R103" s="70">
        <f>[1]!b_stm07_bs(R14,141,R13,1)</f>
        <v>51286365067.75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d19041711.IB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0.55661700000000003</v>
      </c>
      <c r="C109" s="54" t="s">
        <v>36</v>
      </c>
      <c r="D109" s="71">
        <f>[1]!s_fa_current(A2,B2)</f>
        <v>2.2309999999999999</v>
      </c>
      <c r="E109" s="54" t="s">
        <v>41</v>
      </c>
      <c r="F109" s="72">
        <f>[1]!s_fa_salescashintoor(A2,B2)/100</f>
        <v>1.2803</v>
      </c>
      <c r="G109" s="54" t="s">
        <v>42</v>
      </c>
      <c r="H109" s="12">
        <f>S109/100</f>
        <v>7.9259999999999997E-2</v>
      </c>
      <c r="I109" s="54"/>
      <c r="J109" s="16"/>
      <c r="K109" s="25"/>
      <c r="L109" s="34" t="s">
        <v>61</v>
      </c>
      <c r="M109" s="73">
        <f>[1]!s_fa_debttoassets(A2,B2)</f>
        <v>55.661700000000003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7.9260000000000002</v>
      </c>
    </row>
    <row r="110" spans="1:19" ht="15.75" customHeight="1" x14ac:dyDescent="0.25">
      <c r="A110" s="54" t="s">
        <v>62</v>
      </c>
      <c r="B110" s="12">
        <f>M110/100</f>
        <v>0.45384399999999997</v>
      </c>
      <c r="C110" s="54" t="s">
        <v>63</v>
      </c>
      <c r="D110" s="72">
        <f>[1]!s_fa_quick(A2,B2)</f>
        <v>1.9045000000000001</v>
      </c>
      <c r="E110" s="54" t="s">
        <v>64</v>
      </c>
      <c r="F110" s="71">
        <f>[1]!s_fa_arturn(A2,B2)</f>
        <v>1.9652000000000001</v>
      </c>
      <c r="G110" s="54" t="s">
        <v>65</v>
      </c>
      <c r="H110" s="12">
        <f>S110/100</f>
        <v>0.18129100000000001</v>
      </c>
      <c r="I110" s="54"/>
      <c r="J110" s="16"/>
      <c r="L110" s="54" t="s">
        <v>62</v>
      </c>
      <c r="M110" s="73">
        <f>[1]!s_fa_catoassets(A2,B2)</f>
        <v>45.384399999999999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18.129100000000001</v>
      </c>
    </row>
    <row r="111" spans="1:19" ht="15" customHeight="1" x14ac:dyDescent="0.25">
      <c r="A111" s="54" t="s">
        <v>66</v>
      </c>
      <c r="B111" s="12">
        <f>M111/100</f>
        <v>0.36546899999999999</v>
      </c>
      <c r="C111" s="54" t="s">
        <v>39</v>
      </c>
      <c r="D111" s="72">
        <f>[1]!s_fa_ebitdatodebt(A2,B2)</f>
        <v>1.77E-2</v>
      </c>
      <c r="E111" s="54" t="s">
        <v>67</v>
      </c>
      <c r="F111" s="71">
        <f>[1]!s_fa_invturn(A2,B2)</f>
        <v>0.44340000000000002</v>
      </c>
      <c r="G111" s="54" t="s">
        <v>45</v>
      </c>
      <c r="H111" s="12">
        <f>S111/100</f>
        <v>1.8592000000000001E-2</v>
      </c>
      <c r="I111" s="54"/>
      <c r="J111" s="16"/>
      <c r="L111" s="54" t="s">
        <v>66</v>
      </c>
      <c r="M111" s="73">
        <f>[1]!s_fa_currentdebttodebt(A2,B2)</f>
        <v>36.546900000000001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1.8592</v>
      </c>
    </row>
    <row r="112" spans="1:19" ht="14.25" customHeight="1" x14ac:dyDescent="0.25">
      <c r="A112" s="54" t="s">
        <v>38</v>
      </c>
      <c r="B112" s="75">
        <f>(M116+M117+M118+M119+M120+M121)/M123</f>
        <v>0.86471560209869325</v>
      </c>
      <c r="C112" s="54" t="s">
        <v>68</v>
      </c>
      <c r="D112" s="72">
        <f>[1]!s_fa_ebittointerest(A2,B2)</f>
        <v>0</v>
      </c>
      <c r="E112" s="54" t="s">
        <v>69</v>
      </c>
      <c r="F112" s="71">
        <f>[1]!s_fa_caturn(A2,B2)</f>
        <v>6.9500000000000006E-2</v>
      </c>
      <c r="G112" s="54" t="s">
        <v>70</v>
      </c>
      <c r="H112" s="12">
        <f>S112/100</f>
        <v>3.6289999999999998E-3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0.3629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3.32E-2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1082551078.3099999</v>
      </c>
    </row>
    <row r="117" spans="1:21" ht="14.25" customHeight="1" x14ac:dyDescent="0.25">
      <c r="A117" s="54" t="s">
        <v>77</v>
      </c>
      <c r="B117" s="72">
        <f t="shared" ref="B117:B131" si="1">M127/100000000</f>
        <v>47.659970443999995</v>
      </c>
      <c r="C117" s="54" t="s">
        <v>78</v>
      </c>
      <c r="D117" s="75">
        <f t="shared" ref="D117:D125" si="2">O127/100000000</f>
        <v>30.956120008800003</v>
      </c>
      <c r="E117" s="128" t="s">
        <v>79</v>
      </c>
      <c r="F117" s="121"/>
      <c r="G117" s="121"/>
      <c r="H117" s="129">
        <f t="shared" ref="H117:H131" si="3">S127/100000000</f>
        <v>39.6332489706</v>
      </c>
      <c r="I117" s="121"/>
      <c r="J117" s="121"/>
      <c r="L117" s="17" t="s">
        <v>48</v>
      </c>
      <c r="M117" s="70">
        <f>[1]!b_stm07_bs(K107,82,L107,1)</f>
        <v>200807040.41</v>
      </c>
    </row>
    <row r="118" spans="1:21" ht="14.25" customHeight="1" x14ac:dyDescent="0.25">
      <c r="A118" s="54" t="s">
        <v>80</v>
      </c>
      <c r="B118" s="72">
        <f t="shared" si="1"/>
        <v>13.113932648099999</v>
      </c>
      <c r="C118" s="54" t="s">
        <v>81</v>
      </c>
      <c r="D118" s="75">
        <f t="shared" si="2"/>
        <v>32.539483540600003</v>
      </c>
      <c r="E118" s="128" t="s">
        <v>82</v>
      </c>
      <c r="F118" s="121"/>
      <c r="G118" s="121"/>
      <c r="H118" s="129">
        <f t="shared" si="3"/>
        <v>24.368581737500001</v>
      </c>
      <c r="I118" s="121"/>
      <c r="J118" s="121"/>
      <c r="L118" s="17" t="s">
        <v>49</v>
      </c>
      <c r="M118" s="70">
        <f>[1]!b_stm07_bs(K107,88,L107,1)</f>
        <v>5573347100.5699997</v>
      </c>
    </row>
    <row r="119" spans="1:21" ht="14.25" customHeight="1" x14ac:dyDescent="0.25">
      <c r="A119" s="54" t="s">
        <v>83</v>
      </c>
      <c r="B119" s="72">
        <f t="shared" si="1"/>
        <v>67.482016632600008</v>
      </c>
      <c r="C119" s="54" t="s">
        <v>84</v>
      </c>
      <c r="D119" s="75">
        <f t="shared" si="2"/>
        <v>28.502546455400001</v>
      </c>
      <c r="E119" s="128" t="s">
        <v>85</v>
      </c>
      <c r="F119" s="121"/>
      <c r="G119" s="121"/>
      <c r="H119" s="130">
        <f t="shared" si="3"/>
        <v>64.015715321400009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31.808498951599997</v>
      </c>
      <c r="C120" s="54" t="s">
        <v>87</v>
      </c>
      <c r="D120" s="75">
        <f t="shared" si="2"/>
        <v>1.8208782972999999</v>
      </c>
      <c r="E120" s="128" t="s">
        <v>88</v>
      </c>
      <c r="F120" s="121"/>
      <c r="G120" s="121"/>
      <c r="H120" s="129">
        <f t="shared" si="3"/>
        <v>27.506570186599998</v>
      </c>
      <c r="I120" s="121"/>
      <c r="J120" s="121"/>
      <c r="L120" s="17" t="s">
        <v>51</v>
      </c>
      <c r="M120" s="70">
        <f>[1]!b_stm07_bs(K107,94,L107,1)</f>
        <v>21910767176.310001</v>
      </c>
    </row>
    <row r="121" spans="1:21" ht="14.25" customHeight="1" x14ac:dyDescent="0.25">
      <c r="A121" s="54" t="s">
        <v>89</v>
      </c>
      <c r="B121" s="72">
        <f t="shared" si="1"/>
        <v>66.963927931300006</v>
      </c>
      <c r="C121" s="54" t="s">
        <v>90</v>
      </c>
      <c r="D121" s="75">
        <f t="shared" si="2"/>
        <v>4.0877763817000003</v>
      </c>
      <c r="E121" s="128" t="s">
        <v>91</v>
      </c>
      <c r="F121" s="121"/>
      <c r="G121" s="121"/>
      <c r="H121" s="129">
        <f t="shared" si="3"/>
        <v>28.454217851100001</v>
      </c>
      <c r="I121" s="121"/>
      <c r="J121" s="121"/>
      <c r="L121" s="17" t="s">
        <v>52</v>
      </c>
      <c r="M121" s="70">
        <f>[1]!b_stm07_bs(K107,95,L107,1)</f>
        <v>6880000000</v>
      </c>
    </row>
    <row r="122" spans="1:21" ht="14.25" customHeight="1" x14ac:dyDescent="0.25">
      <c r="A122" s="54" t="s">
        <v>92</v>
      </c>
      <c r="B122" s="72">
        <f t="shared" si="1"/>
        <v>23.537713799200002</v>
      </c>
      <c r="C122" s="54" t="s">
        <v>93</v>
      </c>
      <c r="D122" s="75">
        <f t="shared" si="2"/>
        <v>-2.5240891775000001</v>
      </c>
      <c r="E122" s="128" t="s">
        <v>94</v>
      </c>
      <c r="F122" s="121"/>
      <c r="G122" s="121"/>
      <c r="H122" s="130">
        <f t="shared" si="3"/>
        <v>60.933030505299996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929.77270563410002</v>
      </c>
      <c r="C123" s="54" t="s">
        <v>96</v>
      </c>
      <c r="D123" s="75">
        <f t="shared" si="2"/>
        <v>5.6120687523999999</v>
      </c>
      <c r="E123" s="128" t="s">
        <v>97</v>
      </c>
      <c r="F123" s="121"/>
      <c r="G123" s="121"/>
      <c r="H123" s="130">
        <f t="shared" si="3"/>
        <v>3.0826848161</v>
      </c>
      <c r="I123" s="121"/>
      <c r="J123" s="121"/>
      <c r="L123" s="17" t="s">
        <v>53</v>
      </c>
      <c r="M123" s="70">
        <f>[1]!b_stm07_bs(K107,141,L107,1)</f>
        <v>41224504691.580002</v>
      </c>
    </row>
    <row r="124" spans="1:21" ht="14.25" customHeight="1" x14ac:dyDescent="0.25">
      <c r="A124" s="54" t="s">
        <v>98</v>
      </c>
      <c r="B124" s="72">
        <f t="shared" si="1"/>
        <v>10.825510783099999</v>
      </c>
      <c r="C124" s="54" t="s">
        <v>99</v>
      </c>
      <c r="D124" s="75">
        <f t="shared" si="2"/>
        <v>5.9805319140000002</v>
      </c>
      <c r="E124" s="128" t="s">
        <v>100</v>
      </c>
      <c r="F124" s="121"/>
      <c r="G124" s="121"/>
      <c r="H124" s="130">
        <f t="shared" si="3"/>
        <v>-1.2966034658000001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55.733471005699997</v>
      </c>
      <c r="C125" s="54" t="s">
        <v>43</v>
      </c>
      <c r="D125" s="75">
        <f t="shared" si="2"/>
        <v>6.3835665434000006</v>
      </c>
      <c r="E125" s="128" t="s">
        <v>102</v>
      </c>
      <c r="F125" s="121"/>
      <c r="G125" s="121"/>
      <c r="H125" s="129">
        <f t="shared" si="3"/>
        <v>15.422008530099999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80.205634482199997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219.1076717631</v>
      </c>
      <c r="C127" s="54"/>
      <c r="D127" s="79"/>
      <c r="E127" s="128" t="s">
        <v>106</v>
      </c>
      <c r="F127" s="121"/>
      <c r="G127" s="121"/>
      <c r="H127" s="129">
        <f t="shared" si="3"/>
        <v>32</v>
      </c>
      <c r="I127" s="121"/>
      <c r="J127" s="121"/>
      <c r="L127" s="54" t="s">
        <v>77</v>
      </c>
      <c r="M127" s="74">
        <f>[1]!b_stm07_bs(K107,9,L107,1)</f>
        <v>4765997044.3999996</v>
      </c>
      <c r="N127" s="54" t="s">
        <v>78</v>
      </c>
      <c r="O127" s="74">
        <f>[1]!b_stm07_is(K107,83,L107,1)</f>
        <v>3095612000.8800001</v>
      </c>
      <c r="P127" s="128" t="s">
        <v>79</v>
      </c>
      <c r="Q127" s="121"/>
      <c r="R127" s="121"/>
      <c r="S127" s="133">
        <f>[1]!b_stm07_cs(K107,9,L107,1)</f>
        <v>3963324897.0599999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68.8</v>
      </c>
      <c r="C128" s="54"/>
      <c r="D128" s="79"/>
      <c r="E128" s="128" t="s">
        <v>108</v>
      </c>
      <c r="F128" s="121"/>
      <c r="G128" s="121"/>
      <c r="H128" s="130">
        <f t="shared" si="3"/>
        <v>127.8817216434</v>
      </c>
      <c r="I128" s="121"/>
      <c r="J128" s="121"/>
      <c r="L128" s="54" t="s">
        <v>80</v>
      </c>
      <c r="M128" s="74">
        <f>[1]!b_stm07_bs(K107,12,L107,1)</f>
        <v>1311393264.8099999</v>
      </c>
      <c r="N128" s="54" t="s">
        <v>81</v>
      </c>
      <c r="O128" s="74">
        <f>[1]!b_stm07_is(K107,84,L107,1)</f>
        <v>3253948354.0599999</v>
      </c>
      <c r="P128" s="128" t="s">
        <v>82</v>
      </c>
      <c r="Q128" s="121"/>
      <c r="R128" s="121"/>
      <c r="S128" s="133">
        <f>[1]!b_stm07_cs(K107,11,L107,1)</f>
        <v>2436858173.75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517.52765871830002</v>
      </c>
      <c r="C129" s="14"/>
      <c r="D129" s="13"/>
      <c r="E129" s="128" t="s">
        <v>110</v>
      </c>
      <c r="F129" s="121"/>
      <c r="G129" s="121"/>
      <c r="H129" s="129">
        <f t="shared" si="3"/>
        <v>76.001734729399999</v>
      </c>
      <c r="I129" s="121"/>
      <c r="J129" s="121"/>
      <c r="L129" s="54" t="s">
        <v>83</v>
      </c>
      <c r="M129" s="74">
        <f>[1]!b_stm07_bs(K107,13,L107,1)</f>
        <v>6748201663.2600002</v>
      </c>
      <c r="N129" s="54" t="s">
        <v>84</v>
      </c>
      <c r="O129" s="74">
        <f>[1]!b_stm07_is(K107,10,L107,1)</f>
        <v>2850254645.54</v>
      </c>
      <c r="P129" s="128" t="s">
        <v>85</v>
      </c>
      <c r="Q129" s="121"/>
      <c r="R129" s="121"/>
      <c r="S129" s="134">
        <f>[1]!b_stm07_cs(K107,25,L107,1)</f>
        <v>6401571532.1400003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412.2450469158</v>
      </c>
      <c r="C130" s="14"/>
      <c r="D130" s="13"/>
      <c r="E130" s="128" t="s">
        <v>112</v>
      </c>
      <c r="F130" s="121"/>
      <c r="G130" s="121"/>
      <c r="H130" s="129">
        <f t="shared" si="3"/>
        <v>126.09507996629999</v>
      </c>
      <c r="I130" s="121"/>
      <c r="J130" s="121"/>
      <c r="L130" s="54" t="s">
        <v>86</v>
      </c>
      <c r="M130" s="74">
        <f>[1]!b_stm07_bs(K107,31,L107,1)</f>
        <v>3180849895.1599998</v>
      </c>
      <c r="N130" s="54" t="s">
        <v>87</v>
      </c>
      <c r="O130" s="74">
        <f>[1]!b_stm07_is(K107,12,L107,1)</f>
        <v>182087829.72999999</v>
      </c>
      <c r="P130" s="128" t="s">
        <v>88</v>
      </c>
      <c r="Q130" s="121"/>
      <c r="R130" s="121"/>
      <c r="S130" s="133">
        <f>[1]!b_stm07_cs(K107,26,L107,1)</f>
        <v>2750657018.6599998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929.77270563410002</v>
      </c>
      <c r="C131" s="14"/>
      <c r="D131" s="13"/>
      <c r="E131" s="128" t="s">
        <v>114</v>
      </c>
      <c r="F131" s="121"/>
      <c r="G131" s="121"/>
      <c r="H131" s="130">
        <f t="shared" si="3"/>
        <v>1.7866416771</v>
      </c>
      <c r="I131" s="121"/>
      <c r="J131" s="121"/>
      <c r="L131" s="54" t="s">
        <v>89</v>
      </c>
      <c r="M131" s="74">
        <f>[1]!b_stm07_bs(K107,33,L107,1)</f>
        <v>6696392793.1300001</v>
      </c>
      <c r="N131" s="54" t="s">
        <v>90</v>
      </c>
      <c r="O131" s="74">
        <f>[1]!b_stm07_is(K107,13,L107,1)</f>
        <v>408777638.17000002</v>
      </c>
      <c r="P131" s="128" t="s">
        <v>91</v>
      </c>
      <c r="Q131" s="121"/>
      <c r="R131" s="121"/>
      <c r="S131" s="133">
        <f>[1]!b_stm07_cs(K107,29,L107,1)</f>
        <v>2845421785.1100001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2353771379.9200001</v>
      </c>
      <c r="N132" s="54" t="s">
        <v>93</v>
      </c>
      <c r="O132" s="74">
        <f>[1]!b_stm07_is(K107,14,L107,1)</f>
        <v>-252408917.75</v>
      </c>
      <c r="P132" s="128" t="s">
        <v>94</v>
      </c>
      <c r="Q132" s="121"/>
      <c r="R132" s="121"/>
      <c r="S132" s="134">
        <f>[1]!b_stm07_cs(K107,37,L107,1)</f>
        <v>6093303050.5299997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92977270563.410004</v>
      </c>
      <c r="N133" s="54" t="s">
        <v>96</v>
      </c>
      <c r="O133" s="74">
        <f>[1]!b_stm07_is(K107,48,L107,1)</f>
        <v>561206875.24000001</v>
      </c>
      <c r="P133" s="128" t="s">
        <v>97</v>
      </c>
      <c r="Q133" s="121"/>
      <c r="R133" s="121"/>
      <c r="S133" s="134">
        <f>[1]!b_stm07_cs(K107,39,L107,1)</f>
        <v>308268481.61000001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1082551078.3099999</v>
      </c>
      <c r="N134" s="54" t="s">
        <v>99</v>
      </c>
      <c r="O134" s="74">
        <f>[1]!b_stm07_is(K107,55,L107,1)</f>
        <v>598053191.39999998</v>
      </c>
      <c r="P134" s="128" t="s">
        <v>100</v>
      </c>
      <c r="Q134" s="121"/>
      <c r="R134" s="121"/>
      <c r="S134" s="134">
        <f>[1]!b_stm07_cs(K107,59,L107,1)</f>
        <v>-129660346.58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5573347100.5699997</v>
      </c>
      <c r="N135" s="54" t="s">
        <v>43</v>
      </c>
      <c r="O135" s="74">
        <f>[1]!b_stm07_is(K107,60,L107,1)</f>
        <v>638356654.34000003</v>
      </c>
      <c r="P135" s="128" t="s">
        <v>102</v>
      </c>
      <c r="Q135" s="121"/>
      <c r="R135" s="121"/>
      <c r="S135" s="133">
        <f>[1]!b_stm07_cs(K107,60,L107,1)</f>
        <v>1542200853.01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8020563448.2200003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21910767176.310001</v>
      </c>
      <c r="N137" s="54"/>
      <c r="O137" s="79"/>
      <c r="P137" s="128" t="s">
        <v>106</v>
      </c>
      <c r="Q137" s="121"/>
      <c r="R137" s="121"/>
      <c r="S137" s="133">
        <f>[1]!b_stm07_cs(K107,63,L107,1)</f>
        <v>3200000000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6880000000</v>
      </c>
      <c r="N138" s="54"/>
      <c r="O138" s="79"/>
      <c r="P138" s="128" t="s">
        <v>108</v>
      </c>
      <c r="Q138" s="121"/>
      <c r="R138" s="121"/>
      <c r="S138" s="134">
        <f>[1]!b_stm07_cs(K107,68,L107,1)</f>
        <v>12788172164.34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51752765871.830002</v>
      </c>
      <c r="N139" s="14"/>
      <c r="O139" s="13"/>
      <c r="P139" s="128" t="s">
        <v>110</v>
      </c>
      <c r="Q139" s="121"/>
      <c r="R139" s="121"/>
      <c r="S139" s="133">
        <f>[1]!b_stm07_cs(K107,69,L107,1)</f>
        <v>7600173472.9399996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41224504691.580002</v>
      </c>
      <c r="N140" s="14"/>
      <c r="O140" s="13"/>
      <c r="P140" s="128" t="s">
        <v>112</v>
      </c>
      <c r="Q140" s="121"/>
      <c r="R140" s="121"/>
      <c r="S140" s="133">
        <f>[1]!b_stm07_cs(K107,75,L107,1)</f>
        <v>12609507996.629999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92977270563.410004</v>
      </c>
      <c r="N141" s="14"/>
      <c r="O141" s="13"/>
      <c r="P141" s="128" t="s">
        <v>114</v>
      </c>
      <c r="Q141" s="121"/>
      <c r="R141" s="121"/>
      <c r="S141" s="134">
        <f>[1]!b_stm07_cs(K107,77,L107,1)</f>
        <v>178664167.71000001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301</v>
      </c>
      <c r="C2" s="117"/>
      <c r="D2" s="57" t="s">
        <v>3</v>
      </c>
      <c r="E2" s="116" t="s">
        <v>302</v>
      </c>
      <c r="F2" s="117"/>
      <c r="G2" s="117"/>
    </row>
    <row r="3" spans="1:12" ht="14.25" customHeight="1" x14ac:dyDescent="0.25">
      <c r="A3" s="57" t="s">
        <v>4</v>
      </c>
      <c r="B3" s="116" t="s">
        <v>303</v>
      </c>
      <c r="C3" s="117"/>
      <c r="D3" s="57" t="s">
        <v>5</v>
      </c>
      <c r="E3" s="116" t="s">
        <v>304</v>
      </c>
      <c r="F3" s="117"/>
      <c r="G3" s="117"/>
    </row>
    <row r="4" spans="1:12" ht="113.25" customHeight="1" x14ac:dyDescent="0.25">
      <c r="A4" s="57" t="s">
        <v>6</v>
      </c>
      <c r="B4" s="118" t="s">
        <v>305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306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81" t="s">
        <v>116</v>
      </c>
      <c r="B6" s="137" t="s">
        <v>307</v>
      </c>
      <c r="C6" s="117"/>
      <c r="D6" s="117"/>
      <c r="E6" s="117"/>
      <c r="F6" s="138" t="s">
        <v>307</v>
      </c>
      <c r="G6" s="117"/>
    </row>
    <row r="7" spans="1:12" ht="11.25" customHeight="1" x14ac:dyDescent="0.25">
      <c r="A7" s="81" t="s">
        <v>117</v>
      </c>
      <c r="B7" s="137" t="s">
        <v>307</v>
      </c>
      <c r="C7" s="117"/>
      <c r="D7" s="117"/>
      <c r="E7" s="117"/>
      <c r="F7" s="138" t="s">
        <v>307</v>
      </c>
      <c r="G7" s="117"/>
    </row>
    <row r="8" spans="1:12" ht="11.25" customHeight="1" x14ac:dyDescent="0.25">
      <c r="A8" s="81" t="s">
        <v>118</v>
      </c>
      <c r="B8" s="137" t="s">
        <v>307</v>
      </c>
      <c r="C8" s="117"/>
      <c r="D8" s="117"/>
      <c r="E8" s="117"/>
      <c r="F8" s="138" t="s">
        <v>307</v>
      </c>
      <c r="G8" s="117"/>
    </row>
    <row r="9" spans="1:12" ht="11.25" customHeight="1" x14ac:dyDescent="0.25">
      <c r="A9" s="81" t="s">
        <v>119</v>
      </c>
      <c r="B9" s="137" t="s">
        <v>307</v>
      </c>
      <c r="C9" s="117"/>
      <c r="D9" s="117"/>
      <c r="E9" s="117"/>
      <c r="F9" s="138" t="s">
        <v>307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4.58</v>
      </c>
      <c r="E13" s="63">
        <v>4.5972602739726032</v>
      </c>
      <c r="F13" s="64" t="s">
        <v>25</v>
      </c>
      <c r="G13" s="63">
        <v>10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4.6900000000000004</v>
      </c>
      <c r="E14" s="82">
        <v>0</v>
      </c>
      <c r="F14">
        <v>0</v>
      </c>
      <c r="G14" s="63">
        <v>12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5.69</v>
      </c>
      <c r="E15" s="82">
        <v>4.0547945205479454</v>
      </c>
      <c r="F15" t="s">
        <v>25</v>
      </c>
      <c r="G15" s="63">
        <v>20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6.26</v>
      </c>
      <c r="E16" s="82">
        <v>2.0465753424657533</v>
      </c>
      <c r="F16">
        <v>0</v>
      </c>
      <c r="G16" s="63">
        <v>10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6.4</v>
      </c>
      <c r="E17" s="82">
        <v>1.9289617486338799</v>
      </c>
      <c r="F17">
        <v>0</v>
      </c>
      <c r="G17" s="63">
        <v>10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5.3</v>
      </c>
      <c r="E18" s="82">
        <v>3.5287671232876714</v>
      </c>
      <c r="F18" t="s">
        <v>25</v>
      </c>
      <c r="G18" s="63">
        <v>20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3">
        <v>4.5999999999999996</v>
      </c>
      <c r="E19" s="82">
        <v>0</v>
      </c>
      <c r="F19">
        <v>0</v>
      </c>
      <c r="G19" s="63">
        <v>12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3">
        <v>3.63</v>
      </c>
      <c r="E20" s="82">
        <v>0.54794520547945202</v>
      </c>
      <c r="F20">
        <v>0</v>
      </c>
      <c r="G20" s="63">
        <v>20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3">
        <v>4.25</v>
      </c>
      <c r="E21" s="82">
        <v>8.2191780821917804E-2</v>
      </c>
      <c r="F21">
        <v>0</v>
      </c>
      <c r="G21" s="63">
        <v>10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3">
        <v>3.96</v>
      </c>
      <c r="E22" s="82">
        <v>3.9262295081967213</v>
      </c>
      <c r="F22" t="s">
        <v>25</v>
      </c>
      <c r="G22" s="63">
        <v>12</v>
      </c>
    </row>
    <row r="23" spans="1:7" ht="14.4" customHeight="1" x14ac:dyDescent="0.25">
      <c r="A23" t="s">
        <v>151</v>
      </c>
      <c r="B23" t="s">
        <v>149</v>
      </c>
      <c r="C23" t="s">
        <v>152</v>
      </c>
      <c r="D23" s="63">
        <v>3.96</v>
      </c>
      <c r="E23" s="82">
        <v>3.9262295081967213</v>
      </c>
      <c r="F23" t="s">
        <v>25</v>
      </c>
      <c r="G23" s="63">
        <v>12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3">
        <v>4.87</v>
      </c>
      <c r="E24" s="82">
        <v>3.5506849315068494</v>
      </c>
      <c r="F24" t="s">
        <v>25</v>
      </c>
      <c r="G24" s="63">
        <v>10</v>
      </c>
    </row>
    <row r="25" spans="1:7" ht="14.4" customHeight="1" x14ac:dyDescent="0.25">
      <c r="A25" t="s">
        <v>156</v>
      </c>
      <c r="B25" t="s">
        <v>154</v>
      </c>
      <c r="C25" t="s">
        <v>157</v>
      </c>
      <c r="D25" s="63">
        <v>4.87</v>
      </c>
      <c r="E25" s="82">
        <v>3.5506849315068494</v>
      </c>
      <c r="F25" t="s">
        <v>25</v>
      </c>
      <c r="G25" s="63">
        <v>10</v>
      </c>
    </row>
    <row r="26" spans="1:7" ht="14.4" customHeight="1" x14ac:dyDescent="0.25">
      <c r="A26" t="s">
        <v>158</v>
      </c>
      <c r="B26" t="s">
        <v>159</v>
      </c>
      <c r="C26" t="s">
        <v>160</v>
      </c>
      <c r="D26" s="63">
        <v>4.2</v>
      </c>
      <c r="E26" s="82">
        <v>0</v>
      </c>
      <c r="F26" t="s">
        <v>25</v>
      </c>
      <c r="G26" s="63">
        <v>20</v>
      </c>
    </row>
    <row r="27" spans="1:7" ht="14.4" customHeight="1" x14ac:dyDescent="0.25">
      <c r="A27" t="s">
        <v>161</v>
      </c>
      <c r="B27" t="s">
        <v>162</v>
      </c>
      <c r="C27" t="s">
        <v>163</v>
      </c>
      <c r="D27" s="63">
        <v>8.49</v>
      </c>
      <c r="E27" s="82">
        <v>1.9918032786885247</v>
      </c>
      <c r="F27" t="s">
        <v>25</v>
      </c>
      <c r="G27" s="63">
        <v>13</v>
      </c>
    </row>
    <row r="28" spans="1:7" ht="14.4" customHeight="1" x14ac:dyDescent="0.25">
      <c r="A28" t="s">
        <v>164</v>
      </c>
      <c r="B28" t="s">
        <v>162</v>
      </c>
      <c r="C28" t="s">
        <v>165</v>
      </c>
      <c r="D28" s="63">
        <v>8.49</v>
      </c>
      <c r="E28" s="82">
        <v>1.9918032786885247</v>
      </c>
      <c r="F28" t="s">
        <v>25</v>
      </c>
      <c r="G28" s="63">
        <v>13</v>
      </c>
    </row>
    <row r="29" spans="1:7" ht="14.4" customHeight="1" x14ac:dyDescent="0.25">
      <c r="A29" t="s">
        <v>166</v>
      </c>
      <c r="B29" t="s">
        <v>167</v>
      </c>
      <c r="C29" t="s">
        <v>168</v>
      </c>
      <c r="D29" s="63">
        <v>7.18</v>
      </c>
      <c r="E29" s="82">
        <v>0.57808219178082187</v>
      </c>
      <c r="F29" t="s">
        <v>25</v>
      </c>
      <c r="G29" s="63">
        <v>8</v>
      </c>
    </row>
    <row r="30" spans="1:7" ht="14.4" customHeight="1" x14ac:dyDescent="0.25">
      <c r="A30" t="s">
        <v>169</v>
      </c>
      <c r="B30" t="s">
        <v>167</v>
      </c>
      <c r="C30" t="s">
        <v>170</v>
      </c>
      <c r="D30" s="63">
        <v>7.18</v>
      </c>
      <c r="E30" s="82">
        <v>0.57808219178082187</v>
      </c>
      <c r="F30" t="s">
        <v>25</v>
      </c>
      <c r="G30" s="63">
        <v>8</v>
      </c>
    </row>
    <row r="31" spans="1:7" ht="14.4" customHeight="1" x14ac:dyDescent="0.25">
      <c r="A31" t="s">
        <v>171</v>
      </c>
      <c r="B31" t="s">
        <v>172</v>
      </c>
      <c r="C31" t="s">
        <v>173</v>
      </c>
      <c r="D31" s="63">
        <v>7.3</v>
      </c>
      <c r="E31" s="82">
        <v>0</v>
      </c>
      <c r="F31" t="s">
        <v>225</v>
      </c>
      <c r="G31" s="63">
        <v>4.0999999999999996</v>
      </c>
    </row>
    <row r="32" spans="1:7" ht="14.4" customHeight="1" x14ac:dyDescent="0.25">
      <c r="A32" t="s">
        <v>174</v>
      </c>
      <c r="B32" t="s">
        <v>175</v>
      </c>
      <c r="C32" t="s">
        <v>176</v>
      </c>
      <c r="D32" s="63">
        <v>6.9</v>
      </c>
      <c r="E32" s="82">
        <v>3.1424657534246574</v>
      </c>
      <c r="F32" t="s">
        <v>25</v>
      </c>
      <c r="G32" s="63">
        <v>10</v>
      </c>
    </row>
    <row r="33" spans="1:7" ht="14.4" customHeight="1" x14ac:dyDescent="0.25">
      <c r="A33" t="s">
        <v>177</v>
      </c>
      <c r="B33" t="s">
        <v>175</v>
      </c>
      <c r="C33" t="s">
        <v>178</v>
      </c>
      <c r="D33" s="63">
        <v>6.7</v>
      </c>
      <c r="E33" s="82">
        <v>0</v>
      </c>
      <c r="F33" t="s">
        <v>25</v>
      </c>
      <c r="G33" s="63">
        <v>7</v>
      </c>
    </row>
    <row r="34" spans="1:7" ht="14.4" customHeight="1" x14ac:dyDescent="0.25">
      <c r="A34" t="s">
        <v>179</v>
      </c>
      <c r="B34" t="s">
        <v>175</v>
      </c>
      <c r="C34" t="s">
        <v>180</v>
      </c>
      <c r="D34" s="63">
        <v>6.7</v>
      </c>
      <c r="E34" s="82">
        <v>0</v>
      </c>
      <c r="F34" t="s">
        <v>25</v>
      </c>
      <c r="G34" s="63">
        <v>7</v>
      </c>
    </row>
    <row r="35" spans="1:7" ht="14.4" customHeight="1" x14ac:dyDescent="0.25">
      <c r="A35" t="s">
        <v>181</v>
      </c>
      <c r="B35" t="s">
        <v>175</v>
      </c>
      <c r="C35" t="s">
        <v>182</v>
      </c>
      <c r="D35" s="63">
        <v>6.9</v>
      </c>
      <c r="E35" s="82">
        <v>3.1424657534246574</v>
      </c>
      <c r="F35" t="s">
        <v>25</v>
      </c>
      <c r="G35" s="63">
        <v>10</v>
      </c>
    </row>
    <row r="36" spans="1:7" ht="14.4" customHeight="1" x14ac:dyDescent="0.25">
      <c r="A36" t="s">
        <v>183</v>
      </c>
      <c r="B36" t="s">
        <v>184</v>
      </c>
      <c r="C36" t="s">
        <v>185</v>
      </c>
      <c r="D36" s="63">
        <v>7.3</v>
      </c>
      <c r="E36" s="82">
        <v>2.9398907103825138</v>
      </c>
      <c r="F36" t="s">
        <v>25</v>
      </c>
      <c r="G36" s="63">
        <v>19</v>
      </c>
    </row>
    <row r="37" spans="1:7" ht="14.4" customHeight="1" x14ac:dyDescent="0.25">
      <c r="A37" t="s">
        <v>186</v>
      </c>
      <c r="B37" t="s">
        <v>184</v>
      </c>
      <c r="C37" t="s">
        <v>187</v>
      </c>
      <c r="D37" s="63">
        <v>7.66</v>
      </c>
      <c r="E37" s="82">
        <v>0</v>
      </c>
      <c r="F37" t="s">
        <v>25</v>
      </c>
      <c r="G37" s="63">
        <v>9</v>
      </c>
    </row>
    <row r="38" spans="1:7" ht="14.4" customHeight="1" x14ac:dyDescent="0.25">
      <c r="A38" t="s">
        <v>188</v>
      </c>
      <c r="B38" t="s">
        <v>189</v>
      </c>
      <c r="C38" t="s">
        <v>190</v>
      </c>
      <c r="D38" s="63">
        <v>4.95</v>
      </c>
      <c r="E38" s="82">
        <v>0</v>
      </c>
      <c r="F38" t="s">
        <v>25</v>
      </c>
      <c r="G38" s="63">
        <v>10</v>
      </c>
    </row>
    <row r="39" spans="1:7" ht="14.4" customHeight="1" x14ac:dyDescent="0.25">
      <c r="A39" t="s">
        <v>191</v>
      </c>
      <c r="B39" t="s">
        <v>189</v>
      </c>
      <c r="C39" t="s">
        <v>192</v>
      </c>
      <c r="D39" s="63">
        <v>4.95</v>
      </c>
      <c r="E39" s="82">
        <v>0</v>
      </c>
      <c r="F39" t="s">
        <v>25</v>
      </c>
      <c r="G39" s="63">
        <v>10</v>
      </c>
    </row>
    <row r="40" spans="1:7" ht="14.4" customHeight="1" x14ac:dyDescent="0.25">
      <c r="A40" t="s">
        <v>193</v>
      </c>
      <c r="B40" t="s">
        <v>194</v>
      </c>
      <c r="C40" t="s">
        <v>195</v>
      </c>
      <c r="D40" s="63">
        <v>4.47</v>
      </c>
      <c r="E40" s="82">
        <v>0</v>
      </c>
      <c r="F40" t="s">
        <v>25</v>
      </c>
      <c r="G40" s="63">
        <v>6</v>
      </c>
    </row>
    <row r="41" spans="1:7" ht="14.4" customHeight="1" x14ac:dyDescent="0.25">
      <c r="A41" t="s">
        <v>196</v>
      </c>
      <c r="B41" t="s">
        <v>194</v>
      </c>
      <c r="C41" t="s">
        <v>197</v>
      </c>
      <c r="D41" s="63">
        <v>4.47</v>
      </c>
      <c r="E41" s="82">
        <v>0</v>
      </c>
      <c r="F41" t="s">
        <v>25</v>
      </c>
      <c r="G41" s="63">
        <v>6</v>
      </c>
    </row>
    <row r="42" spans="1:7" ht="14.4" customHeight="1" x14ac:dyDescent="0.25">
      <c r="A42" t="s">
        <v>198</v>
      </c>
      <c r="B42" t="s">
        <v>194</v>
      </c>
      <c r="C42" t="s">
        <v>199</v>
      </c>
      <c r="D42" s="63">
        <v>4.95</v>
      </c>
      <c r="E42" s="82">
        <v>0</v>
      </c>
      <c r="F42" t="s">
        <v>25</v>
      </c>
      <c r="G42" s="63">
        <v>14</v>
      </c>
    </row>
    <row r="43" spans="1:7" ht="14.4" customHeight="1" x14ac:dyDescent="0.25">
      <c r="A43" t="s">
        <v>200</v>
      </c>
      <c r="B43" t="s">
        <v>194</v>
      </c>
      <c r="C43" t="s">
        <v>201</v>
      </c>
      <c r="D43" s="63">
        <v>4.95</v>
      </c>
      <c r="E43" s="82">
        <v>0</v>
      </c>
      <c r="F43" t="s">
        <v>25</v>
      </c>
      <c r="G43" s="63">
        <v>14</v>
      </c>
    </row>
    <row r="44" spans="1:7" ht="14.4" customHeight="1" x14ac:dyDescent="0.25">
      <c r="A44" t="s">
        <v>202</v>
      </c>
      <c r="B44" t="s">
        <v>203</v>
      </c>
      <c r="C44" t="s">
        <v>204</v>
      </c>
      <c r="D44" s="63">
        <v>4.25</v>
      </c>
      <c r="E44" s="82">
        <v>0</v>
      </c>
      <c r="F44" t="s">
        <v>225</v>
      </c>
      <c r="G44" s="63">
        <v>10</v>
      </c>
    </row>
    <row r="45" spans="1:7" ht="14.4" customHeight="1" x14ac:dyDescent="0.25">
      <c r="A45" t="s">
        <v>205</v>
      </c>
      <c r="B45" t="s">
        <v>206</v>
      </c>
      <c r="C45" t="s">
        <v>207</v>
      </c>
      <c r="D45" s="63">
        <v>5.25</v>
      </c>
      <c r="E45" s="82">
        <v>0</v>
      </c>
      <c r="F45" t="s">
        <v>308</v>
      </c>
      <c r="G45" s="63">
        <v>10</v>
      </c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1:7" ht="14.4" customHeight="1" x14ac:dyDescent="0.25">
      <c r="D49" s="63"/>
      <c r="E49" s="82"/>
      <c r="G49" s="63"/>
    </row>
    <row r="50" spans="1:7" ht="14.4" customHeight="1" x14ac:dyDescent="0.25">
      <c r="D50" s="63"/>
      <c r="E50" s="82"/>
      <c r="G50" s="63"/>
    </row>
    <row r="51" spans="1:7" ht="14.4" customHeight="1" x14ac:dyDescent="0.25">
      <c r="A51" s="140" t="s">
        <v>208</v>
      </c>
      <c r="B51" s="140"/>
      <c r="C51" s="140"/>
      <c r="D51" s="140"/>
      <c r="E51" s="82"/>
      <c r="G51" s="63"/>
    </row>
    <row r="52" spans="1:7" ht="14.4" customHeight="1" x14ac:dyDescent="0.25">
      <c r="A52" s="83" t="s">
        <v>209</v>
      </c>
      <c r="B52" s="83" t="s">
        <v>210</v>
      </c>
      <c r="C52" s="83" t="s">
        <v>211</v>
      </c>
      <c r="D52" s="84" t="s">
        <v>212</v>
      </c>
      <c r="E52" s="82"/>
      <c r="G52" s="63"/>
    </row>
    <row r="53" spans="1:7" ht="14.4" customHeight="1" x14ac:dyDescent="0.25">
      <c r="A53" t="s">
        <v>213</v>
      </c>
      <c r="B53" t="s">
        <v>25</v>
      </c>
      <c r="C53" t="s">
        <v>214</v>
      </c>
      <c r="D53" s="63" t="s">
        <v>215</v>
      </c>
      <c r="E53" s="82"/>
      <c r="G53" s="63"/>
    </row>
    <row r="54" spans="1:7" ht="14.4" customHeight="1" x14ac:dyDescent="0.25">
      <c r="A54" t="s">
        <v>216</v>
      </c>
      <c r="B54" t="s">
        <v>25</v>
      </c>
      <c r="C54" t="s">
        <v>214</v>
      </c>
      <c r="D54" s="63" t="s">
        <v>215</v>
      </c>
      <c r="E54" s="82"/>
      <c r="G54" s="63"/>
    </row>
    <row r="55" spans="1:7" ht="14.4" customHeight="1" x14ac:dyDescent="0.25">
      <c r="A55" t="s">
        <v>217</v>
      </c>
      <c r="B55" t="s">
        <v>25</v>
      </c>
      <c r="C55" t="s">
        <v>214</v>
      </c>
      <c r="D55" s="63" t="s">
        <v>218</v>
      </c>
      <c r="E55" s="82"/>
      <c r="G55" s="63"/>
    </row>
    <row r="56" spans="1:7" ht="14.4" customHeight="1" x14ac:dyDescent="0.25">
      <c r="A56" t="s">
        <v>219</v>
      </c>
      <c r="B56" t="s">
        <v>25</v>
      </c>
      <c r="C56" t="s">
        <v>214</v>
      </c>
      <c r="D56" s="63" t="s">
        <v>215</v>
      </c>
      <c r="E56" s="82"/>
      <c r="G56" s="63"/>
    </row>
    <row r="57" spans="1:7" ht="14.4" customHeight="1" x14ac:dyDescent="0.25">
      <c r="A57" t="s">
        <v>220</v>
      </c>
      <c r="B57" t="s">
        <v>25</v>
      </c>
      <c r="C57" t="s">
        <v>214</v>
      </c>
      <c r="D57" s="63" t="s">
        <v>215</v>
      </c>
      <c r="E57" s="82"/>
      <c r="G57" s="63"/>
    </row>
    <row r="58" spans="1:7" ht="14.4" customHeight="1" x14ac:dyDescent="0.25">
      <c r="A58" t="s">
        <v>221</v>
      </c>
      <c r="B58" t="s">
        <v>25</v>
      </c>
      <c r="C58" t="s">
        <v>214</v>
      </c>
      <c r="D58" s="63" t="s">
        <v>218</v>
      </c>
      <c r="E58" s="82"/>
      <c r="G58" s="63"/>
    </row>
    <row r="59" spans="1:7" ht="14.4" customHeight="1" x14ac:dyDescent="0.25">
      <c r="A59" t="s">
        <v>222</v>
      </c>
      <c r="B59" t="s">
        <v>25</v>
      </c>
      <c r="C59" t="s">
        <v>214</v>
      </c>
      <c r="D59" s="63" t="s">
        <v>223</v>
      </c>
      <c r="E59" s="82"/>
      <c r="G59" s="63"/>
    </row>
    <row r="60" spans="1:7" ht="14.4" customHeight="1" x14ac:dyDescent="0.25">
      <c r="A60" t="s">
        <v>224</v>
      </c>
      <c r="B60" t="s">
        <v>225</v>
      </c>
      <c r="C60" t="s">
        <v>214</v>
      </c>
      <c r="D60" s="63" t="s">
        <v>218</v>
      </c>
      <c r="E60" s="82"/>
      <c r="G60" s="63"/>
    </row>
    <row r="61" spans="1:7" ht="14.4" customHeight="1" x14ac:dyDescent="0.25">
      <c r="A61" t="s">
        <v>226</v>
      </c>
      <c r="B61" t="s">
        <v>225</v>
      </c>
      <c r="C61" t="s">
        <v>214</v>
      </c>
      <c r="D61" s="63" t="s">
        <v>218</v>
      </c>
      <c r="E61" s="82"/>
      <c r="G61" s="63"/>
    </row>
    <row r="62" spans="1:7" ht="14.4" customHeight="1" x14ac:dyDescent="0.25">
      <c r="A62" t="s">
        <v>227</v>
      </c>
      <c r="B62" t="s">
        <v>25</v>
      </c>
      <c r="C62" t="s">
        <v>228</v>
      </c>
      <c r="D62" s="63" t="s">
        <v>223</v>
      </c>
      <c r="E62" s="82"/>
      <c r="G62" s="63"/>
    </row>
    <row r="63" spans="1:7" ht="14.4" customHeight="1" x14ac:dyDescent="0.25">
      <c r="A63" t="s">
        <v>229</v>
      </c>
      <c r="B63" t="s">
        <v>225</v>
      </c>
      <c r="C63" t="s">
        <v>214</v>
      </c>
      <c r="D63" s="63" t="s">
        <v>218</v>
      </c>
      <c r="E63" s="82"/>
      <c r="G63" s="63"/>
    </row>
    <row r="64" spans="1:7" ht="14.4" customHeight="1" x14ac:dyDescent="0.25">
      <c r="A64" t="s">
        <v>230</v>
      </c>
      <c r="B64" t="s">
        <v>25</v>
      </c>
      <c r="C64" t="s">
        <v>228</v>
      </c>
      <c r="D64" s="63" t="s">
        <v>223</v>
      </c>
      <c r="E64" s="82"/>
      <c r="G64" s="63"/>
    </row>
    <row r="65" spans="1:7" ht="14.4" customHeight="1" x14ac:dyDescent="0.25">
      <c r="A65" t="s">
        <v>231</v>
      </c>
      <c r="B65" t="s">
        <v>25</v>
      </c>
      <c r="C65" t="s">
        <v>228</v>
      </c>
      <c r="D65" s="63" t="s">
        <v>223</v>
      </c>
      <c r="E65" s="82"/>
      <c r="G65" s="63"/>
    </row>
    <row r="66" spans="1:7" ht="14.4" customHeight="1" x14ac:dyDescent="0.25">
      <c r="A66" t="s">
        <v>232</v>
      </c>
      <c r="B66" t="s">
        <v>225</v>
      </c>
      <c r="C66" t="s">
        <v>214</v>
      </c>
      <c r="D66" s="63" t="s">
        <v>218</v>
      </c>
      <c r="E66" s="82"/>
      <c r="G66" s="63"/>
    </row>
    <row r="67" spans="1:7" ht="14.4" customHeight="1" x14ac:dyDescent="0.25">
      <c r="A67" t="s">
        <v>233</v>
      </c>
      <c r="B67" t="s">
        <v>25</v>
      </c>
      <c r="C67" t="s">
        <v>228</v>
      </c>
      <c r="D67" s="63" t="s">
        <v>223</v>
      </c>
      <c r="E67" s="82"/>
      <c r="G67" s="63"/>
    </row>
    <row r="68" spans="1:7" ht="14.4" customHeight="1" x14ac:dyDescent="0.25">
      <c r="A68" t="s">
        <v>234</v>
      </c>
      <c r="B68" t="s">
        <v>25</v>
      </c>
      <c r="C68" t="s">
        <v>228</v>
      </c>
      <c r="D68" s="63" t="s">
        <v>223</v>
      </c>
      <c r="E68" s="82"/>
      <c r="G68" s="63"/>
    </row>
    <row r="69" spans="1:7" ht="14.4" customHeight="1" x14ac:dyDescent="0.25">
      <c r="A69" t="s">
        <v>235</v>
      </c>
      <c r="B69" t="s">
        <v>225</v>
      </c>
      <c r="C69" t="s">
        <v>214</v>
      </c>
      <c r="D69" s="63" t="s">
        <v>218</v>
      </c>
      <c r="E69" s="82"/>
      <c r="G69" s="63"/>
    </row>
    <row r="70" spans="1:7" ht="14.4" customHeight="1" x14ac:dyDescent="0.25">
      <c r="A70" t="s">
        <v>236</v>
      </c>
      <c r="B70" t="s">
        <v>225</v>
      </c>
      <c r="C70" t="s">
        <v>237</v>
      </c>
      <c r="D70" s="63" t="s">
        <v>218</v>
      </c>
      <c r="E70" s="82"/>
      <c r="G70" s="63"/>
    </row>
    <row r="71" spans="1:7" ht="14.4" customHeight="1" x14ac:dyDescent="0.25">
      <c r="A71" t="s">
        <v>238</v>
      </c>
      <c r="B71" t="s">
        <v>225</v>
      </c>
      <c r="C71" t="s">
        <v>237</v>
      </c>
      <c r="D71" s="63" t="s">
        <v>218</v>
      </c>
      <c r="E71" s="82"/>
      <c r="G71" s="63"/>
    </row>
    <row r="72" spans="1:7" ht="14.4" customHeight="1" x14ac:dyDescent="0.25">
      <c r="A72" t="s">
        <v>239</v>
      </c>
      <c r="B72" t="s">
        <v>225</v>
      </c>
      <c r="C72" t="s">
        <v>237</v>
      </c>
      <c r="D72" s="63" t="s">
        <v>218</v>
      </c>
      <c r="E72" s="82"/>
      <c r="G72" s="63"/>
    </row>
    <row r="73" spans="1:7" ht="14.4" customHeight="1" x14ac:dyDescent="0.25">
      <c r="A73" t="s">
        <v>240</v>
      </c>
      <c r="B73" t="s">
        <v>225</v>
      </c>
      <c r="C73" t="s">
        <v>237</v>
      </c>
      <c r="D73" s="63" t="s">
        <v>218</v>
      </c>
      <c r="E73" s="82"/>
      <c r="G73" s="63"/>
    </row>
    <row r="74" spans="1:7" ht="14.4" customHeight="1" x14ac:dyDescent="0.25">
      <c r="A74" t="s">
        <v>241</v>
      </c>
      <c r="B74" t="s">
        <v>225</v>
      </c>
      <c r="C74" t="s">
        <v>214</v>
      </c>
      <c r="D74" s="63" t="s">
        <v>218</v>
      </c>
      <c r="E74" s="82"/>
      <c r="G74" s="63"/>
    </row>
    <row r="75" spans="1:7" ht="14.4" customHeight="1" x14ac:dyDescent="0.25">
      <c r="A75" t="s">
        <v>242</v>
      </c>
      <c r="B75" t="s">
        <v>225</v>
      </c>
      <c r="C75" t="s">
        <v>214</v>
      </c>
      <c r="D75" s="63" t="s">
        <v>218</v>
      </c>
      <c r="E75" s="82"/>
      <c r="G75" s="63"/>
    </row>
    <row r="76" spans="1:7" ht="14.4" customHeight="1" x14ac:dyDescent="0.25">
      <c r="A76" t="s">
        <v>243</v>
      </c>
      <c r="B76" t="s">
        <v>225</v>
      </c>
      <c r="C76" t="s">
        <v>214</v>
      </c>
      <c r="D76" s="63" t="s">
        <v>218</v>
      </c>
      <c r="E76" s="82"/>
      <c r="G76" s="63"/>
    </row>
    <row r="77" spans="1:7" ht="14.4" customHeight="1" x14ac:dyDescent="0.25">
      <c r="A77" t="s">
        <v>244</v>
      </c>
      <c r="B77" t="s">
        <v>225</v>
      </c>
      <c r="C77" t="s">
        <v>214</v>
      </c>
      <c r="D77" s="63" t="s">
        <v>218</v>
      </c>
      <c r="E77" s="82"/>
      <c r="G77" s="63"/>
    </row>
    <row r="78" spans="1:7" ht="14.4" customHeight="1" x14ac:dyDescent="0.25">
      <c r="A78" t="s">
        <v>245</v>
      </c>
      <c r="B78" t="s">
        <v>225</v>
      </c>
      <c r="C78" t="s">
        <v>214</v>
      </c>
      <c r="D78" s="63" t="s">
        <v>218</v>
      </c>
      <c r="E78" s="82"/>
      <c r="G78" s="63"/>
    </row>
    <row r="79" spans="1:7" ht="14.4" customHeight="1" x14ac:dyDescent="0.25">
      <c r="A79" t="s">
        <v>246</v>
      </c>
      <c r="B79" t="s">
        <v>225</v>
      </c>
      <c r="C79" t="s">
        <v>214</v>
      </c>
      <c r="D79" s="63" t="s">
        <v>218</v>
      </c>
      <c r="E79" s="82"/>
      <c r="G79" s="63"/>
    </row>
    <row r="80" spans="1:7" ht="14.4" customHeight="1" x14ac:dyDescent="0.25">
      <c r="A80" t="s">
        <v>247</v>
      </c>
      <c r="B80" t="s">
        <v>225</v>
      </c>
      <c r="C80" t="s">
        <v>214</v>
      </c>
      <c r="D80" s="63" t="s">
        <v>218</v>
      </c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51:D5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0.55661700000000003</v>
      </c>
      <c r="C4" s="57" t="s">
        <v>36</v>
      </c>
      <c r="D4" s="86">
        <v>2.2309999999999999</v>
      </c>
      <c r="E4" s="57" t="s">
        <v>41</v>
      </c>
      <c r="F4" s="85">
        <v>1.2803</v>
      </c>
      <c r="G4" s="57" t="s">
        <v>42</v>
      </c>
      <c r="H4" s="85">
        <v>7.9259999999999997E-2</v>
      </c>
      <c r="I4" s="57"/>
      <c r="J4" s="87"/>
    </row>
    <row r="5" spans="1:10" ht="15.75" customHeight="1" x14ac:dyDescent="0.25">
      <c r="A5" s="57" t="s">
        <v>62</v>
      </c>
      <c r="B5" s="85">
        <v>0.45384399999999997</v>
      </c>
      <c r="C5" s="57" t="s">
        <v>63</v>
      </c>
      <c r="D5" s="86">
        <v>1.9045000000000001</v>
      </c>
      <c r="E5" s="57" t="s">
        <v>64</v>
      </c>
      <c r="F5" s="86">
        <v>1.9652000000000001</v>
      </c>
      <c r="G5" s="57" t="s">
        <v>65</v>
      </c>
      <c r="H5" s="85">
        <v>0.18129100000000001</v>
      </c>
      <c r="I5" s="57"/>
      <c r="J5" s="87"/>
    </row>
    <row r="6" spans="1:10" ht="15" customHeight="1" x14ac:dyDescent="0.25">
      <c r="A6" s="57" t="s">
        <v>66</v>
      </c>
      <c r="B6" s="85">
        <v>0.36546899999999999</v>
      </c>
      <c r="C6" s="57" t="s">
        <v>39</v>
      </c>
      <c r="D6" s="88">
        <v>1.77E-2</v>
      </c>
      <c r="E6" s="57" t="s">
        <v>67</v>
      </c>
      <c r="F6" s="86">
        <v>0.44340000000000002</v>
      </c>
      <c r="G6" s="57" t="s">
        <v>45</v>
      </c>
      <c r="H6" s="85">
        <v>1.8592000000000001E-2</v>
      </c>
      <c r="I6" s="57"/>
      <c r="J6" s="87"/>
    </row>
    <row r="7" spans="1:10" ht="14.25" customHeight="1" x14ac:dyDescent="0.25">
      <c r="A7" s="57" t="s">
        <v>38</v>
      </c>
      <c r="B7" s="88">
        <v>0.86471560209869325</v>
      </c>
      <c r="C7" s="57" t="s">
        <v>68</v>
      </c>
      <c r="D7" s="88">
        <v>0</v>
      </c>
      <c r="E7" s="57" t="s">
        <v>69</v>
      </c>
      <c r="F7" s="86">
        <v>6.9500000000000006E-2</v>
      </c>
      <c r="G7" s="57" t="s">
        <v>70</v>
      </c>
      <c r="H7" s="85">
        <v>3.6289999999999998E-3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3.32E-2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47.659970443999995</v>
      </c>
      <c r="C12" s="57" t="s">
        <v>78</v>
      </c>
      <c r="D12" s="88">
        <v>30.956120008800003</v>
      </c>
      <c r="E12" s="144" t="s">
        <v>79</v>
      </c>
      <c r="F12" s="117"/>
      <c r="G12" s="117"/>
      <c r="H12" s="145">
        <v>39.6332489706</v>
      </c>
      <c r="I12" s="117"/>
      <c r="J12" s="117"/>
    </row>
    <row r="13" spans="1:10" ht="14.25" customHeight="1" x14ac:dyDescent="0.25">
      <c r="A13" s="57" t="s">
        <v>80</v>
      </c>
      <c r="B13" s="91">
        <v>13.113932648099999</v>
      </c>
      <c r="C13" s="57" t="s">
        <v>81</v>
      </c>
      <c r="D13" s="88">
        <v>32.539483540600003</v>
      </c>
      <c r="E13" s="144" t="s">
        <v>82</v>
      </c>
      <c r="F13" s="117"/>
      <c r="G13" s="117"/>
      <c r="H13" s="145">
        <v>24.368581737500001</v>
      </c>
      <c r="I13" s="117"/>
      <c r="J13" s="117"/>
    </row>
    <row r="14" spans="1:10" ht="14.25" customHeight="1" x14ac:dyDescent="0.25">
      <c r="A14" s="57" t="s">
        <v>83</v>
      </c>
      <c r="B14" s="91">
        <v>67.482016632600008</v>
      </c>
      <c r="C14" s="57" t="s">
        <v>84</v>
      </c>
      <c r="D14" s="88">
        <v>28.502546455400001</v>
      </c>
      <c r="E14" s="144" t="s">
        <v>85</v>
      </c>
      <c r="F14" s="117"/>
      <c r="G14" s="117"/>
      <c r="H14" s="145">
        <v>64.015715321400009</v>
      </c>
      <c r="I14" s="117"/>
      <c r="J14" s="117"/>
    </row>
    <row r="15" spans="1:10" ht="14.25" customHeight="1" x14ac:dyDescent="0.25">
      <c r="A15" s="57" t="s">
        <v>86</v>
      </c>
      <c r="B15" s="91">
        <v>31.808498951599997</v>
      </c>
      <c r="C15" s="57" t="s">
        <v>87</v>
      </c>
      <c r="D15" s="88">
        <v>1.8208782972999999</v>
      </c>
      <c r="E15" s="144" t="s">
        <v>88</v>
      </c>
      <c r="F15" s="117"/>
      <c r="G15" s="117"/>
      <c r="H15" s="145">
        <v>27.506570186599998</v>
      </c>
      <c r="I15" s="117"/>
      <c r="J15" s="117"/>
    </row>
    <row r="16" spans="1:10" ht="14.25" customHeight="1" x14ac:dyDescent="0.25">
      <c r="A16" s="57" t="s">
        <v>89</v>
      </c>
      <c r="B16" s="91">
        <v>66.963927931300006</v>
      </c>
      <c r="C16" s="57" t="s">
        <v>90</v>
      </c>
      <c r="D16" s="88">
        <v>4.0877763817000003</v>
      </c>
      <c r="E16" s="144" t="s">
        <v>91</v>
      </c>
      <c r="F16" s="117"/>
      <c r="G16" s="117"/>
      <c r="H16" s="145">
        <v>28.454217851100001</v>
      </c>
      <c r="I16" s="117"/>
      <c r="J16" s="117"/>
    </row>
    <row r="17" spans="1:10" ht="14.25" customHeight="1" x14ac:dyDescent="0.25">
      <c r="A17" s="57" t="s">
        <v>92</v>
      </c>
      <c r="B17" s="91">
        <v>23.537713799200002</v>
      </c>
      <c r="C17" s="57" t="s">
        <v>93</v>
      </c>
      <c r="D17" s="88">
        <v>-2.5240891775000001</v>
      </c>
      <c r="E17" s="144" t="s">
        <v>94</v>
      </c>
      <c r="F17" s="117"/>
      <c r="G17" s="117"/>
      <c r="H17" s="145">
        <v>60.933030505299996</v>
      </c>
      <c r="I17" s="117"/>
      <c r="J17" s="117"/>
    </row>
    <row r="18" spans="1:10" ht="14.25" customHeight="1" x14ac:dyDescent="0.25">
      <c r="A18" s="57" t="s">
        <v>95</v>
      </c>
      <c r="B18" s="91">
        <v>929.77270563410002</v>
      </c>
      <c r="C18" s="57" t="s">
        <v>96</v>
      </c>
      <c r="D18" s="88">
        <v>5.6120687523999999</v>
      </c>
      <c r="E18" s="144" t="s">
        <v>97</v>
      </c>
      <c r="F18" s="117"/>
      <c r="G18" s="117"/>
      <c r="H18" s="145">
        <v>3.0826848161</v>
      </c>
      <c r="I18" s="117"/>
      <c r="J18" s="117"/>
    </row>
    <row r="19" spans="1:10" ht="14.25" customHeight="1" x14ac:dyDescent="0.25">
      <c r="A19" s="57" t="s">
        <v>98</v>
      </c>
      <c r="B19" s="91">
        <v>10.825510783099999</v>
      </c>
      <c r="C19" s="57" t="s">
        <v>99</v>
      </c>
      <c r="D19" s="88">
        <v>5.9805319140000002</v>
      </c>
      <c r="E19" s="144" t="s">
        <v>100</v>
      </c>
      <c r="F19" s="117"/>
      <c r="G19" s="117"/>
      <c r="H19" s="145">
        <v>-1.2966034658000001</v>
      </c>
      <c r="I19" s="117"/>
      <c r="J19" s="117"/>
    </row>
    <row r="20" spans="1:10" ht="27" customHeight="1" x14ac:dyDescent="0.25">
      <c r="A20" s="57" t="s">
        <v>101</v>
      </c>
      <c r="B20" s="91">
        <v>55.733471005699997</v>
      </c>
      <c r="C20" s="57" t="s">
        <v>43</v>
      </c>
      <c r="D20" s="88">
        <v>6.3835665434000006</v>
      </c>
      <c r="E20" s="144" t="s">
        <v>102</v>
      </c>
      <c r="F20" s="117"/>
      <c r="G20" s="117"/>
      <c r="H20" s="145">
        <v>15.422008530099999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80.205634482199997</v>
      </c>
      <c r="I21" s="117"/>
      <c r="J21" s="117"/>
    </row>
    <row r="22" spans="1:10" ht="14.25" customHeight="1" x14ac:dyDescent="0.25">
      <c r="A22" s="57" t="s">
        <v>105</v>
      </c>
      <c r="B22" s="91">
        <v>219.1076717631</v>
      </c>
      <c r="C22" s="57"/>
      <c r="D22" s="92"/>
      <c r="E22" s="144" t="s">
        <v>106</v>
      </c>
      <c r="F22" s="117"/>
      <c r="G22" s="117"/>
      <c r="H22" s="145">
        <v>32</v>
      </c>
      <c r="I22" s="117"/>
      <c r="J22" s="117"/>
    </row>
    <row r="23" spans="1:10" ht="14.25" customHeight="1" x14ac:dyDescent="0.25">
      <c r="A23" s="57" t="s">
        <v>107</v>
      </c>
      <c r="B23" s="91">
        <v>68.8</v>
      </c>
      <c r="C23" s="57"/>
      <c r="D23" s="92"/>
      <c r="E23" s="144" t="s">
        <v>108</v>
      </c>
      <c r="F23" s="117"/>
      <c r="G23" s="117"/>
      <c r="H23" s="145">
        <v>127.8817216434</v>
      </c>
      <c r="I23" s="117"/>
      <c r="J23" s="117"/>
    </row>
    <row r="24" spans="1:10" ht="14.25" customHeight="1" x14ac:dyDescent="0.25">
      <c r="A24" s="57" t="s">
        <v>109</v>
      </c>
      <c r="B24" s="91">
        <v>517.52765871830002</v>
      </c>
      <c r="C24" s="93"/>
      <c r="D24" s="90"/>
      <c r="E24" s="144" t="s">
        <v>110</v>
      </c>
      <c r="F24" s="117"/>
      <c r="G24" s="117"/>
      <c r="H24" s="145">
        <v>76.001734729399999</v>
      </c>
      <c r="I24" s="117"/>
      <c r="J24" s="117"/>
    </row>
    <row r="25" spans="1:10" ht="14.25" customHeight="1" x14ac:dyDescent="0.25">
      <c r="A25" s="57" t="s">
        <v>111</v>
      </c>
      <c r="B25" s="91">
        <v>412.2450469158</v>
      </c>
      <c r="C25" s="93"/>
      <c r="D25" s="90"/>
      <c r="E25" s="144" t="s">
        <v>112</v>
      </c>
      <c r="F25" s="117"/>
      <c r="G25" s="117"/>
      <c r="H25" s="145">
        <v>126.09507996629999</v>
      </c>
      <c r="I25" s="117"/>
      <c r="J25" s="117"/>
    </row>
    <row r="26" spans="1:10" ht="14.25" customHeight="1" x14ac:dyDescent="0.25">
      <c r="A26" s="94" t="s">
        <v>113</v>
      </c>
      <c r="B26" s="91">
        <v>929.77270563410002</v>
      </c>
      <c r="C26" s="93"/>
      <c r="D26" s="90"/>
      <c r="E26" s="144" t="s">
        <v>114</v>
      </c>
      <c r="F26" s="117"/>
      <c r="G26" s="117"/>
      <c r="H26" s="145">
        <v>1.7866416771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248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301</v>
      </c>
      <c r="C2" s="43" t="s">
        <v>249</v>
      </c>
      <c r="D2" s="43" t="s">
        <v>260</v>
      </c>
      <c r="E2" s="43" t="s">
        <v>309</v>
      </c>
      <c r="F2" s="43" t="s">
        <v>310</v>
      </c>
      <c r="G2" s="43" t="s">
        <v>311</v>
      </c>
      <c r="H2" s="43" t="s">
        <v>268</v>
      </c>
      <c r="I2" s="43" t="s">
        <v>312</v>
      </c>
      <c r="J2" s="43" t="s">
        <v>313</v>
      </c>
    </row>
    <row r="3" spans="1:10" x14ac:dyDescent="0.25">
      <c r="A3" s="54" t="s">
        <v>24</v>
      </c>
      <c r="B3" s="96" t="s">
        <v>25</v>
      </c>
      <c r="C3" s="97" t="s">
        <v>228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302</v>
      </c>
      <c r="C4" s="97" t="s">
        <v>228</v>
      </c>
      <c r="D4" s="98" t="s">
        <v>302</v>
      </c>
      <c r="E4" s="98" t="s">
        <v>302</v>
      </c>
      <c r="F4" s="98" t="s">
        <v>302</v>
      </c>
      <c r="G4" s="98" t="s">
        <v>302</v>
      </c>
      <c r="H4" s="98" t="s">
        <v>302</v>
      </c>
      <c r="I4" s="98" t="s">
        <v>302</v>
      </c>
      <c r="J4" s="98" t="s">
        <v>302</v>
      </c>
    </row>
    <row r="5" spans="1:10" s="7" customFormat="1" x14ac:dyDescent="0.25">
      <c r="A5" s="9" t="s">
        <v>29</v>
      </c>
      <c r="B5" s="99" t="s">
        <v>30</v>
      </c>
      <c r="C5" s="97" t="s">
        <v>228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929.77270563410002</v>
      </c>
      <c r="C6" s="97">
        <v>812.41571659151418</v>
      </c>
      <c r="D6" s="100">
        <v>1198.8348792116999</v>
      </c>
      <c r="E6" s="100">
        <v>635.0746772471</v>
      </c>
      <c r="F6" s="100">
        <v>1320.986143507</v>
      </c>
      <c r="G6" s="100">
        <v>401.4854627858</v>
      </c>
      <c r="H6" s="100">
        <v>466.66765742339999</v>
      </c>
      <c r="I6" s="100">
        <v>906.26584473850005</v>
      </c>
      <c r="J6" s="100">
        <v>757.59535122710008</v>
      </c>
    </row>
    <row r="7" spans="1:10" x14ac:dyDescent="0.25">
      <c r="A7" s="54" t="s">
        <v>34</v>
      </c>
      <c r="B7" s="44">
        <v>0.55661700000000003</v>
      </c>
      <c r="C7" s="97">
        <v>0.56360414285714289</v>
      </c>
      <c r="D7" s="44">
        <v>0.62495100000000003</v>
      </c>
      <c r="E7" s="44">
        <v>0.86082899999999996</v>
      </c>
      <c r="F7" s="44">
        <v>0.62800100000000003</v>
      </c>
      <c r="G7" s="44">
        <v>0.39147500000000002</v>
      </c>
      <c r="H7" s="44">
        <v>0.516405</v>
      </c>
      <c r="I7" s="44">
        <v>0.60053100000000004</v>
      </c>
      <c r="J7" s="44">
        <v>0.32303700000000002</v>
      </c>
    </row>
    <row r="8" spans="1:10" x14ac:dyDescent="0.25">
      <c r="A8" s="54" t="s">
        <v>36</v>
      </c>
      <c r="B8" s="100">
        <v>2.2309999999999999</v>
      </c>
      <c r="C8" s="97">
        <v>3.8910285714285715</v>
      </c>
      <c r="D8" s="100">
        <v>4.7351000000000001</v>
      </c>
      <c r="E8" s="100">
        <v>1.1624000000000001</v>
      </c>
      <c r="F8" s="100">
        <v>7.0338000000000003</v>
      </c>
      <c r="G8" s="100">
        <v>4.1192000000000002</v>
      </c>
      <c r="H8" s="100">
        <v>2.1448999999999998</v>
      </c>
      <c r="I8" s="100">
        <v>2.1366000000000001</v>
      </c>
      <c r="J8" s="100">
        <v>5.9051999999999998</v>
      </c>
    </row>
    <row r="9" spans="1:10" x14ac:dyDescent="0.25">
      <c r="A9" s="54" t="s">
        <v>38</v>
      </c>
      <c r="B9" s="96">
        <v>0.86471560209869325</v>
      </c>
      <c r="C9" s="97">
        <v>1.0300354390371731</v>
      </c>
      <c r="D9" s="96">
        <v>1.1843262896268891</v>
      </c>
      <c r="E9" s="96">
        <v>2.2695916360541921</v>
      </c>
      <c r="F9" s="96">
        <v>1.4715905274977801</v>
      </c>
      <c r="G9" s="96">
        <v>0.15789921956629782</v>
      </c>
      <c r="H9" s="96">
        <v>0.80662932088784745</v>
      </c>
      <c r="I9" s="96">
        <v>0.95658854649672198</v>
      </c>
      <c r="J9" s="96">
        <v>0.36362253313048354</v>
      </c>
    </row>
    <row r="10" spans="1:10" ht="21.6" customHeight="1" x14ac:dyDescent="0.25">
      <c r="A10" s="54" t="s">
        <v>39</v>
      </c>
      <c r="B10" s="100">
        <v>1.77E-2</v>
      </c>
      <c r="C10" s="97">
        <v>8.425714285714285E-2</v>
      </c>
      <c r="D10" s="100">
        <v>3.0300000000000001E-2</v>
      </c>
      <c r="E10" s="100">
        <v>3.3399999999999999E-2</v>
      </c>
      <c r="F10" s="100">
        <v>2.8500000000000001E-2</v>
      </c>
      <c r="G10" s="100">
        <v>0.25390000000000001</v>
      </c>
      <c r="H10" s="100">
        <v>6.6100000000000006E-2</v>
      </c>
      <c r="I10" s="100">
        <v>5.21E-2</v>
      </c>
      <c r="J10" s="100">
        <v>0.1255</v>
      </c>
    </row>
    <row r="11" spans="1:10" x14ac:dyDescent="0.25">
      <c r="A11" s="54" t="s">
        <v>40</v>
      </c>
      <c r="B11" s="100">
        <v>30.956120008800003</v>
      </c>
      <c r="C11" s="97">
        <v>114.56471558574286</v>
      </c>
      <c r="D11" s="100">
        <v>144.46699356969998</v>
      </c>
      <c r="E11" s="100">
        <v>354.57095131419999</v>
      </c>
      <c r="F11" s="100">
        <v>68.964834703400001</v>
      </c>
      <c r="G11" s="100">
        <v>55.766110660300001</v>
      </c>
      <c r="H11" s="100">
        <v>25.739543892499999</v>
      </c>
      <c r="I11" s="100">
        <v>95.735067452400003</v>
      </c>
      <c r="J11" s="100">
        <v>56.709507507700003</v>
      </c>
    </row>
    <row r="12" spans="1:10" s="7" customFormat="1" x14ac:dyDescent="0.25">
      <c r="A12" s="9" t="s">
        <v>41</v>
      </c>
      <c r="B12" s="45">
        <v>1.2803</v>
      </c>
      <c r="C12" s="97">
        <v>0.84321428571428569</v>
      </c>
      <c r="D12" s="45">
        <v>0.41060000000000002</v>
      </c>
      <c r="E12" s="45">
        <v>0.91990000000000005</v>
      </c>
      <c r="F12" s="45">
        <v>1.0589999999999999</v>
      </c>
      <c r="G12" s="45">
        <v>1.0449999999999999</v>
      </c>
      <c r="H12" s="45">
        <v>0.78420000000000001</v>
      </c>
      <c r="I12" s="45">
        <v>0.72909999999999997</v>
      </c>
      <c r="J12" s="45">
        <v>0.95469999999999999</v>
      </c>
    </row>
    <row r="13" spans="1:10" s="7" customFormat="1" x14ac:dyDescent="0.25">
      <c r="A13" s="9" t="s">
        <v>42</v>
      </c>
      <c r="B13" s="45">
        <v>7.9259999999999997E-2</v>
      </c>
      <c r="C13" s="97">
        <v>0.30521214285714293</v>
      </c>
      <c r="D13" s="45">
        <v>0.12872</v>
      </c>
      <c r="E13" s="45">
        <v>0.10301199999999999</v>
      </c>
      <c r="F13" s="45">
        <v>0.28867199999999998</v>
      </c>
      <c r="G13" s="45">
        <v>0.74700100000000003</v>
      </c>
      <c r="H13" s="45">
        <v>0.35880800000000002</v>
      </c>
      <c r="I13" s="45">
        <v>0.138214</v>
      </c>
      <c r="J13" s="45">
        <v>0.37205800000000006</v>
      </c>
    </row>
    <row r="14" spans="1:10" s="7" customFormat="1" x14ac:dyDescent="0.25">
      <c r="A14" s="9" t="s">
        <v>43</v>
      </c>
      <c r="B14" s="101">
        <v>6.3835665434000006</v>
      </c>
      <c r="C14" s="97">
        <v>14.977331469671428</v>
      </c>
      <c r="D14" s="101">
        <v>9.3902593403000001</v>
      </c>
      <c r="E14" s="101">
        <v>7.8148274500000001</v>
      </c>
      <c r="F14" s="101">
        <v>12.061584098399999</v>
      </c>
      <c r="G14" s="101">
        <v>38.2115779903</v>
      </c>
      <c r="H14" s="101">
        <v>6.1875360725999995</v>
      </c>
      <c r="I14" s="101">
        <v>6.6484512415999992</v>
      </c>
      <c r="J14" s="101">
        <v>24.527084094499997</v>
      </c>
    </row>
    <row r="15" spans="1:10" x14ac:dyDescent="0.25">
      <c r="A15" s="54" t="s">
        <v>45</v>
      </c>
      <c r="B15" s="44">
        <v>1.8592000000000001E-2</v>
      </c>
      <c r="C15" s="97">
        <v>6.5492714285714279E-2</v>
      </c>
      <c r="D15" s="44">
        <v>2.3156E-2</v>
      </c>
      <c r="E15" s="44">
        <v>0.136713</v>
      </c>
      <c r="F15" s="44">
        <v>3.1259000000000002E-2</v>
      </c>
      <c r="G15" s="44">
        <v>0.16966999999999999</v>
      </c>
      <c r="H15" s="44">
        <v>2.8414000000000002E-2</v>
      </c>
      <c r="I15" s="44">
        <v>1.7967999999999998E-2</v>
      </c>
      <c r="J15" s="44">
        <v>5.1269000000000002E-2</v>
      </c>
    </row>
    <row r="16" spans="1:10" s="7" customFormat="1" ht="25.8" customHeight="1" x14ac:dyDescent="0.25">
      <c r="A16" s="9" t="s">
        <v>46</v>
      </c>
      <c r="B16" s="101">
        <v>3.0826848161</v>
      </c>
      <c r="C16" s="97">
        <v>-22.167995588971429</v>
      </c>
      <c r="D16" s="101">
        <v>6.2157603817</v>
      </c>
      <c r="E16" s="101">
        <v>-92.312324576900011</v>
      </c>
      <c r="F16" s="101">
        <v>-138.86911625850001</v>
      </c>
      <c r="G16" s="101">
        <v>20.004438415300001</v>
      </c>
      <c r="H16" s="101">
        <v>20.958003650399998</v>
      </c>
      <c r="I16" s="101">
        <v>7.7805294154999993</v>
      </c>
      <c r="J16" s="101">
        <v>21.0467398497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250</v>
      </c>
      <c r="B1" s="121"/>
      <c r="C1" s="121"/>
      <c r="D1" s="121"/>
      <c r="E1" s="121"/>
      <c r="F1" s="121"/>
    </row>
    <row r="2" spans="1:6" x14ac:dyDescent="0.25">
      <c r="A2" s="51" t="s">
        <v>251</v>
      </c>
      <c r="B2" s="50" t="s">
        <v>252</v>
      </c>
      <c r="C2" s="50" t="s">
        <v>253</v>
      </c>
      <c r="D2" s="50" t="s">
        <v>254</v>
      </c>
      <c r="E2" s="50" t="s">
        <v>212</v>
      </c>
      <c r="F2" s="50" t="s">
        <v>255</v>
      </c>
    </row>
    <row r="3" spans="1:6" ht="48" customHeight="1" x14ac:dyDescent="0.25">
      <c r="A3" s="103">
        <v>43301</v>
      </c>
      <c r="B3" s="52" t="s">
        <v>256</v>
      </c>
      <c r="C3" s="104" t="s">
        <v>257</v>
      </c>
      <c r="D3" s="104"/>
      <c r="E3" s="52" t="s">
        <v>258</v>
      </c>
      <c r="F3" s="104" t="s">
        <v>259</v>
      </c>
    </row>
    <row r="4" spans="1:6" ht="49.5" customHeight="1" x14ac:dyDescent="0.25">
      <c r="A4" s="103">
        <v>43278</v>
      </c>
      <c r="B4" s="52" t="s">
        <v>260</v>
      </c>
      <c r="C4" s="104" t="s">
        <v>261</v>
      </c>
      <c r="D4" s="104"/>
      <c r="E4" s="52" t="s">
        <v>258</v>
      </c>
      <c r="F4" s="104" t="s">
        <v>262</v>
      </c>
    </row>
    <row r="5" spans="1:6" ht="57" x14ac:dyDescent="0.25">
      <c r="A5" s="103">
        <v>43277</v>
      </c>
      <c r="B5" s="52" t="s">
        <v>263</v>
      </c>
      <c r="C5" s="104" t="s">
        <v>257</v>
      </c>
      <c r="D5" s="104"/>
      <c r="E5" s="52" t="s">
        <v>223</v>
      </c>
      <c r="F5" s="104" t="s">
        <v>264</v>
      </c>
    </row>
    <row r="6" spans="1:6" ht="45.6" x14ac:dyDescent="0.25">
      <c r="A6" s="103">
        <v>43271</v>
      </c>
      <c r="B6" s="52" t="s">
        <v>265</v>
      </c>
      <c r="C6" s="104" t="s">
        <v>257</v>
      </c>
      <c r="D6" s="104"/>
      <c r="E6" s="52" t="s">
        <v>266</v>
      </c>
      <c r="F6" s="104" t="s">
        <v>267</v>
      </c>
    </row>
    <row r="7" spans="1:6" ht="79.8" x14ac:dyDescent="0.25">
      <c r="A7" s="103">
        <v>43270</v>
      </c>
      <c r="B7" s="52" t="s">
        <v>268</v>
      </c>
      <c r="C7" s="104" t="s">
        <v>261</v>
      </c>
      <c r="D7" s="104"/>
      <c r="E7" s="52" t="s">
        <v>269</v>
      </c>
      <c r="F7" s="104" t="s">
        <v>270</v>
      </c>
    </row>
    <row r="8" spans="1:6" ht="57" x14ac:dyDescent="0.25">
      <c r="A8" s="103">
        <v>43243</v>
      </c>
      <c r="B8" s="52" t="s">
        <v>271</v>
      </c>
      <c r="C8" s="104" t="s">
        <v>257</v>
      </c>
      <c r="D8" s="104"/>
      <c r="E8" s="52" t="s">
        <v>223</v>
      </c>
      <c r="F8" s="104" t="s">
        <v>272</v>
      </c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4" spans="1:6" x14ac:dyDescent="0.25">
      <c r="A24" s="140" t="s">
        <v>273</v>
      </c>
      <c r="B24" s="140"/>
      <c r="C24" s="140"/>
      <c r="D24" s="140"/>
      <c r="E24" s="140"/>
      <c r="F24" s="140"/>
    </row>
    <row r="25" spans="1:6" x14ac:dyDescent="0.25">
      <c r="A25" s="83" t="s">
        <v>251</v>
      </c>
      <c r="B25" s="83" t="s">
        <v>252</v>
      </c>
      <c r="C25" s="83" t="s">
        <v>274</v>
      </c>
      <c r="D25" s="83" t="s">
        <v>275</v>
      </c>
      <c r="E25" s="83" t="s">
        <v>212</v>
      </c>
      <c r="F25" s="83" t="s">
        <v>255</v>
      </c>
    </row>
  </sheetData>
  <mergeCells count="2">
    <mergeCell ref="A1:F1"/>
    <mergeCell ref="A24:F24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276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277</v>
      </c>
      <c r="B2" s="55" t="s">
        <v>278</v>
      </c>
      <c r="C2" s="55" t="s">
        <v>279</v>
      </c>
      <c r="D2" s="55" t="s">
        <v>280</v>
      </c>
      <c r="E2" s="55" t="s">
        <v>281</v>
      </c>
      <c r="F2" s="55" t="s">
        <v>282</v>
      </c>
      <c r="G2" s="55" t="s">
        <v>283</v>
      </c>
      <c r="H2" s="55" t="s">
        <v>16</v>
      </c>
      <c r="I2" s="55" t="s">
        <v>284</v>
      </c>
      <c r="J2" s="55" t="s">
        <v>285</v>
      </c>
      <c r="K2" s="55" t="s">
        <v>286</v>
      </c>
      <c r="L2" s="55" t="s">
        <v>287</v>
      </c>
      <c r="M2" s="55" t="s">
        <v>19</v>
      </c>
      <c r="N2" s="55" t="s">
        <v>288</v>
      </c>
      <c r="O2" s="3"/>
      <c r="P2" s="107" t="str">
        <f ca="1">Q2</f>
        <v>2019-04-16</v>
      </c>
      <c r="Q2" s="1" t="str">
        <f ca="1">[1]!td(R2-1)</f>
        <v>2019-04-16</v>
      </c>
      <c r="R2" s="3">
        <f ca="1">TODAY()</f>
        <v>43572</v>
      </c>
    </row>
    <row r="3" spans="1:18" ht="15.75" customHeight="1" x14ac:dyDescent="0.25">
      <c r="A3" s="108" t="str">
        <f>[1]!b_info_name(L3)</f>
        <v>19芜湖建设SCP001</v>
      </c>
      <c r="B3" s="2" t="str">
        <f>[1]!b_issue_firstissue(L3)</f>
        <v>2019-04-18</v>
      </c>
      <c r="C3" s="108">
        <f>[1]!b_info_term(L3)</f>
        <v>0.73970000000000002</v>
      </c>
      <c r="D3" s="109" t="str">
        <f>[1]!issuerrating(L3)</f>
        <v>AA+</v>
      </c>
      <c r="E3" s="109" t="str">
        <f>[1]!b_info_creditrating(L3)</f>
        <v>-</v>
      </c>
      <c r="F3" s="108" t="str">
        <f>[1]!b_rate_creditratingagency(L3)</f>
        <v>中诚信国际信用评级有限责任公司</v>
      </c>
      <c r="G3" s="110">
        <f>[1]!b_agency_guarantor(L3)</f>
        <v>0</v>
      </c>
      <c r="H3" s="111" t="s">
        <v>289</v>
      </c>
      <c r="I3" s="65"/>
      <c r="J3" s="112" t="s">
        <v>289</v>
      </c>
      <c r="K3" s="113"/>
      <c r="L3" s="41" t="str">
        <f>公式页!A2</f>
        <v>d19041711.IB</v>
      </c>
      <c r="M3" s="111" t="s">
        <v>289</v>
      </c>
      <c r="N3" s="108" t="str">
        <f>[1]!b_agency_leadunderwriter(L3)</f>
        <v>徽商银行股份有限公司</v>
      </c>
      <c r="P3" s="106" t="str">
        <f t="shared" ref="P3:P29" ca="1" si="0">$P$2</f>
        <v>2019-04-16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3.7423999999999999</v>
      </c>
      <c r="K4" s="113">
        <f>K3</f>
        <v>0</v>
      </c>
      <c r="L4" s="4" t="s">
        <v>290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2019-04-16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2019-04-16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2019-04-16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2019-04-16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2019-04-16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2019-04-16</v>
      </c>
    </row>
    <row r="10" spans="1:18" x14ac:dyDescent="0.25">
      <c r="P10" s="106" t="str">
        <f t="shared" ca="1" si="0"/>
        <v>2019-04-16</v>
      </c>
    </row>
    <row r="11" spans="1:18" x14ac:dyDescent="0.25">
      <c r="P11" s="106" t="str">
        <f t="shared" ca="1" si="0"/>
        <v>2019-04-16</v>
      </c>
    </row>
    <row r="12" spans="1:18" x14ac:dyDescent="0.25">
      <c r="A12" s="147" t="s">
        <v>291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2019-04-16</v>
      </c>
    </row>
    <row r="13" spans="1:18" s="1" customFormat="1" ht="43.2" customHeight="1" x14ac:dyDescent="0.25">
      <c r="A13" s="55" t="s">
        <v>277</v>
      </c>
      <c r="B13" s="55" t="s">
        <v>278</v>
      </c>
      <c r="C13" s="55" t="s">
        <v>279</v>
      </c>
      <c r="D13" s="55" t="s">
        <v>280</v>
      </c>
      <c r="E13" s="55" t="s">
        <v>281</v>
      </c>
      <c r="F13" s="55" t="s">
        <v>282</v>
      </c>
      <c r="G13" s="55" t="s">
        <v>283</v>
      </c>
      <c r="H13" s="55" t="s">
        <v>16</v>
      </c>
      <c r="I13" s="55" t="s">
        <v>284</v>
      </c>
      <c r="J13" s="55" t="s">
        <v>285</v>
      </c>
      <c r="K13" s="55" t="s">
        <v>286</v>
      </c>
      <c r="L13" s="55" t="s">
        <v>287</v>
      </c>
      <c r="M13" s="55" t="s">
        <v>19</v>
      </c>
      <c r="N13" s="55" t="s">
        <v>288</v>
      </c>
      <c r="P13" s="106" t="str">
        <f t="shared" ca="1" si="0"/>
        <v>2019-04-16</v>
      </c>
    </row>
    <row r="14" spans="1:18" ht="15.75" customHeight="1" x14ac:dyDescent="0.25">
      <c r="A14" s="108" t="str">
        <f>[1]!b_info_name(L14)</f>
        <v>19芜湖建设SCP001</v>
      </c>
      <c r="B14" s="2" t="str">
        <f>[1]!b_issue_firstissue(L14)</f>
        <v>2019-04-18</v>
      </c>
      <c r="C14" s="108">
        <f>[1]!b_info_term(L14)</f>
        <v>0.73970000000000002</v>
      </c>
      <c r="D14" s="109" t="str">
        <f>[1]!issuerrating(L14)</f>
        <v>AA+</v>
      </c>
      <c r="E14" s="109" t="str">
        <f>[1]!b_info_creditrating(L14)</f>
        <v>-</v>
      </c>
      <c r="F14" s="108" t="str">
        <f>[1]!b_rate_creditratingagency(L14)</f>
        <v>中诚信国际信用评级有限责任公司</v>
      </c>
      <c r="G14" s="110">
        <f>[1]!b_agency_guarantor(L14)</f>
        <v>0</v>
      </c>
      <c r="H14" s="111" t="s">
        <v>289</v>
      </c>
      <c r="I14" s="65"/>
      <c r="J14" s="112" t="s">
        <v>289</v>
      </c>
      <c r="K14" s="113">
        <f>K3</f>
        <v>0</v>
      </c>
      <c r="L14" s="42" t="str">
        <f>L3</f>
        <v>d19041711.IB</v>
      </c>
      <c r="M14" s="111" t="s">
        <v>289</v>
      </c>
      <c r="N14" s="108" t="str">
        <f>[1]!b_agency_leadunderwriter(L14)</f>
        <v>徽商银行股份有限公司</v>
      </c>
      <c r="P14" s="106" t="str">
        <f t="shared" ca="1" si="0"/>
        <v>2019-04-16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292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2019-04-16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293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2019-04-16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294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2019-04-16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295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2019-04-16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296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2019-04-16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297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2019-04-16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298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2019-04-16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299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2019-04-16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300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2019-04-16</v>
      </c>
    </row>
    <row r="24" spans="1:16" x14ac:dyDescent="0.25">
      <c r="P24" s="106" t="str">
        <f t="shared" ca="1" si="0"/>
        <v>2019-04-16</v>
      </c>
    </row>
    <row r="25" spans="1:16" x14ac:dyDescent="0.25">
      <c r="P25" s="106" t="str">
        <f t="shared" ca="1" si="0"/>
        <v>2019-04-16</v>
      </c>
    </row>
    <row r="26" spans="1:16" x14ac:dyDescent="0.25">
      <c r="P26" s="106" t="str">
        <f t="shared" ca="1" si="0"/>
        <v>2019-04-16</v>
      </c>
    </row>
    <row r="27" spans="1:16" x14ac:dyDescent="0.25">
      <c r="P27" s="106" t="str">
        <f t="shared" ca="1" si="0"/>
        <v>2019-04-16</v>
      </c>
    </row>
    <row r="28" spans="1:16" x14ac:dyDescent="0.25">
      <c r="P28" s="106" t="str">
        <f t="shared" ca="1" si="0"/>
        <v>2019-04-16</v>
      </c>
    </row>
    <row r="29" spans="1:16" x14ac:dyDescent="0.25">
      <c r="P29" s="106" t="str">
        <f t="shared" ca="1" si="0"/>
        <v>2019-04-16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2019-04-17T10:29:11Z</dcterms:modified>
</cp:coreProperties>
</file>