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A5CC02EF-FE26-4EC4-92AF-CD93764F150D}" xr6:coauthVersionLast="43" xr6:coauthVersionMax="43" xr10:uidLastSave="{00000000-0000-0000-0000-000000000000}"/>
  <bookViews>
    <workbookView xWindow="456" yWindow="135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A23" i="6"/>
  <c r="G22" i="6"/>
  <c r="B22" i="6"/>
  <c r="M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E23" i="6"/>
  <c r="A22" i="6"/>
  <c r="G21" i="6"/>
  <c r="E20" i="6"/>
  <c r="O19" i="6"/>
  <c r="E19" i="6"/>
  <c r="M18" i="6"/>
  <c r="C18" i="6"/>
  <c r="M17" i="6"/>
  <c r="B17" i="6"/>
  <c r="H16" i="6"/>
  <c r="A16" i="6"/>
  <c r="F15" i="6"/>
  <c r="E14" i="6"/>
  <c r="H9" i="6"/>
  <c r="A9" i="6"/>
  <c r="G8" i="6"/>
  <c r="N7" i="6"/>
  <c r="F7" i="6"/>
  <c r="N6" i="6"/>
  <c r="E6" i="6"/>
  <c r="N5" i="6"/>
  <c r="E5" i="6"/>
  <c r="C4" i="6"/>
  <c r="G3" i="6"/>
  <c r="S140" i="1"/>
  <c r="M138" i="1"/>
  <c r="S135" i="1"/>
  <c r="S133" i="1"/>
  <c r="M132" i="1"/>
  <c r="S129" i="1"/>
  <c r="S128" i="1"/>
  <c r="S127" i="1"/>
  <c r="M118" i="1"/>
  <c r="M111" i="1"/>
  <c r="M110" i="1"/>
  <c r="S109" i="1"/>
  <c r="Q103" i="1"/>
  <c r="J103" i="1"/>
  <c r="C102" i="1"/>
  <c r="O101" i="1"/>
  <c r="F101" i="1"/>
  <c r="R100" i="1"/>
  <c r="M100" i="1"/>
  <c r="D100" i="1"/>
  <c r="P99" i="1"/>
  <c r="J99" i="1"/>
  <c r="B99" i="1"/>
  <c r="N98" i="1"/>
  <c r="F98" i="1"/>
  <c r="Q97" i="1"/>
  <c r="L97" i="1"/>
  <c r="D97" i="1"/>
  <c r="O96" i="1"/>
  <c r="G96" i="1"/>
  <c r="B96" i="1"/>
  <c r="B95" i="1"/>
  <c r="C94" i="1"/>
  <c r="D93" i="1"/>
  <c r="D92" i="1"/>
  <c r="E91" i="1"/>
  <c r="F90" i="1"/>
  <c r="F89" i="1"/>
  <c r="G88" i="1"/>
  <c r="B88" i="1"/>
  <c r="B87" i="1"/>
  <c r="C86" i="1"/>
  <c r="D85" i="1"/>
  <c r="D84" i="1"/>
  <c r="E83" i="1"/>
  <c r="F82" i="1"/>
  <c r="F81" i="1"/>
  <c r="G80" i="1"/>
  <c r="B80" i="1"/>
  <c r="B79" i="1"/>
  <c r="C78" i="1"/>
  <c r="D77" i="1"/>
  <c r="D76" i="1"/>
  <c r="E75" i="1"/>
  <c r="F74" i="1"/>
  <c r="F73" i="1"/>
  <c r="G72" i="1"/>
  <c r="B72" i="1"/>
  <c r="B71" i="1"/>
  <c r="C70" i="1"/>
  <c r="D69" i="1"/>
  <c r="D68" i="1"/>
  <c r="E67" i="1"/>
  <c r="F66" i="1"/>
  <c r="F65" i="1"/>
  <c r="G64" i="1"/>
  <c r="B64" i="1"/>
  <c r="B63" i="1"/>
  <c r="C62" i="1"/>
  <c r="D61" i="1"/>
  <c r="D60" i="1"/>
  <c r="E59" i="1"/>
  <c r="F58" i="1"/>
  <c r="F57" i="1"/>
  <c r="G56" i="1"/>
  <c r="B56" i="1"/>
  <c r="B55" i="1"/>
  <c r="C54" i="1"/>
  <c r="D53" i="1"/>
  <c r="D52" i="1"/>
  <c r="E51" i="1"/>
  <c r="F50" i="1"/>
  <c r="F49" i="1"/>
  <c r="G48" i="1"/>
  <c r="B48" i="1"/>
  <c r="B47" i="1"/>
  <c r="C46" i="1"/>
  <c r="D45" i="1"/>
  <c r="D44" i="1"/>
  <c r="E43" i="1"/>
  <c r="F42" i="1"/>
  <c r="F41" i="1"/>
  <c r="G40" i="1"/>
  <c r="B40" i="1"/>
  <c r="B39" i="1"/>
  <c r="C38" i="1"/>
  <c r="D37" i="1"/>
  <c r="D36" i="1"/>
  <c r="E35" i="1"/>
  <c r="F34" i="1"/>
  <c r="F33" i="1"/>
  <c r="G32" i="1"/>
  <c r="B32"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J16" i="1"/>
  <c r="D16" i="1"/>
  <c r="Q15" i="1"/>
  <c r="M15" i="1"/>
  <c r="F15" i="1"/>
  <c r="B15" i="1"/>
  <c r="D14" i="1"/>
  <c r="B11" i="1"/>
  <c r="B9" i="1"/>
  <c r="B7" i="1"/>
  <c r="E4" i="1"/>
  <c r="D23" i="6"/>
  <c r="F22" i="6"/>
  <c r="O21" i="6"/>
  <c r="F21" i="6"/>
  <c r="N20" i="6"/>
  <c r="D20" i="6"/>
  <c r="M19" i="6"/>
  <c r="B19" i="6"/>
  <c r="B18" i="6"/>
  <c r="G17" i="6"/>
  <c r="G16" i="6"/>
  <c r="O15" i="6"/>
  <c r="E15" i="6"/>
  <c r="D14" i="6"/>
  <c r="F9" i="6"/>
  <c r="E8" i="6"/>
  <c r="M7" i="6"/>
  <c r="D7" i="6"/>
  <c r="D6" i="6"/>
  <c r="B5" i="6"/>
  <c r="B4" i="6"/>
  <c r="D3" i="6"/>
  <c r="Q2" i="6"/>
  <c r="M140" i="1"/>
  <c r="S137" i="1"/>
  <c r="M135" i="1"/>
  <c r="O133" i="1"/>
  <c r="S131" i="1"/>
  <c r="O130" i="1"/>
  <c r="O129" i="1"/>
  <c r="O128" i="1"/>
  <c r="M127" i="1"/>
  <c r="M119" i="1"/>
  <c r="F112" i="1"/>
  <c r="F111" i="1"/>
  <c r="M109" i="1"/>
  <c r="O103" i="1"/>
  <c r="G102" i="1"/>
  <c r="B102" i="1"/>
  <c r="M101" i="1"/>
  <c r="E101" i="1"/>
  <c r="Q100" i="1"/>
  <c r="J100" i="1"/>
  <c r="C100" i="1"/>
  <c r="O99" i="1"/>
  <c r="F99" i="1"/>
  <c r="R98" i="1"/>
  <c r="M98" i="1"/>
  <c r="D98" i="1"/>
  <c r="P97" i="1"/>
  <c r="J97" i="1"/>
  <c r="B97" i="1"/>
  <c r="N96" i="1"/>
  <c r="F96" i="1"/>
  <c r="F95" i="1"/>
  <c r="G94" i="1"/>
  <c r="B94" i="1"/>
  <c r="B93" i="1"/>
  <c r="C92" i="1"/>
  <c r="D91" i="1"/>
  <c r="D90" i="1"/>
  <c r="E89" i="1"/>
  <c r="F88" i="1"/>
  <c r="F87" i="1"/>
  <c r="G86" i="1"/>
  <c r="B86" i="1"/>
  <c r="B85" i="1"/>
  <c r="C84" i="1"/>
  <c r="D83" i="1"/>
  <c r="D82" i="1"/>
  <c r="E81" i="1"/>
  <c r="F80" i="1"/>
  <c r="F79" i="1"/>
  <c r="G78" i="1"/>
  <c r="B78" i="1"/>
  <c r="B77" i="1"/>
  <c r="C76" i="1"/>
  <c r="D75" i="1"/>
  <c r="D74" i="1"/>
  <c r="E73" i="1"/>
  <c r="F72" i="1"/>
  <c r="F71" i="1"/>
  <c r="G70" i="1"/>
  <c r="B70" i="1"/>
  <c r="B69" i="1"/>
  <c r="C68" i="1"/>
  <c r="D67" i="1"/>
  <c r="D66" i="1"/>
  <c r="E65" i="1"/>
  <c r="F64" i="1"/>
  <c r="F63" i="1"/>
  <c r="G62" i="1"/>
  <c r="B62" i="1"/>
  <c r="B61" i="1"/>
  <c r="C60" i="1"/>
  <c r="D59" i="1"/>
  <c r="D58" i="1"/>
  <c r="E57" i="1"/>
  <c r="F56" i="1"/>
  <c r="F55" i="1"/>
  <c r="G54" i="1"/>
  <c r="B54" i="1"/>
  <c r="B53" i="1"/>
  <c r="C52" i="1"/>
  <c r="D51" i="1"/>
  <c r="D50" i="1"/>
  <c r="E49" i="1"/>
  <c r="F48" i="1"/>
  <c r="F47" i="1"/>
  <c r="G46" i="1"/>
  <c r="B46" i="1"/>
  <c r="B45" i="1"/>
  <c r="C44" i="1"/>
  <c r="D43" i="1"/>
  <c r="D42" i="1"/>
  <c r="E41" i="1"/>
  <c r="F40" i="1"/>
  <c r="F39" i="1"/>
  <c r="G38" i="1"/>
  <c r="B38" i="1"/>
  <c r="B37" i="1"/>
  <c r="C36" i="1"/>
  <c r="D35" i="1"/>
  <c r="D34" i="1"/>
  <c r="E33" i="1"/>
  <c r="F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G16" i="1"/>
  <c r="C16" i="1"/>
  <c r="P15" i="1"/>
  <c r="L15" i="1"/>
  <c r="E15" i="1"/>
  <c r="G14" i="1"/>
  <c r="C14" i="1"/>
  <c r="F10" i="1"/>
  <c r="F8" i="1"/>
  <c r="B6" i="1"/>
  <c r="B4" i="1"/>
  <c r="O23" i="6"/>
  <c r="E22" i="6"/>
  <c r="N21" i="6"/>
  <c r="C21" i="6"/>
  <c r="C20" i="6"/>
  <c r="H19" i="6"/>
  <c r="A19" i="6"/>
  <c r="G18" i="6"/>
  <c r="H23" i="6"/>
  <c r="B21" i="6"/>
  <c r="F17" i="6"/>
  <c r="D16" i="6"/>
  <c r="D15" i="6"/>
  <c r="A14" i="6"/>
  <c r="E9" i="6"/>
  <c r="C8" i="6"/>
  <c r="B7" i="6"/>
  <c r="H6" i="6"/>
  <c r="H5" i="6"/>
  <c r="S136" i="1"/>
  <c r="M133" i="1"/>
  <c r="M130" i="1"/>
  <c r="M116" i="1"/>
  <c r="D111" i="1"/>
  <c r="F109" i="1"/>
  <c r="R103" i="1"/>
  <c r="D102" i="1"/>
  <c r="J101" i="1"/>
  <c r="N100" i="1"/>
  <c r="Q99" i="1"/>
  <c r="D99" i="1"/>
  <c r="G98" i="1"/>
  <c r="M97" i="1"/>
  <c r="Q96" i="1"/>
  <c r="C96" i="1"/>
  <c r="D94" i="1"/>
  <c r="F92" i="1"/>
  <c r="G90" i="1"/>
  <c r="B89" i="1"/>
  <c r="D87" i="1"/>
  <c r="E85" i="1"/>
  <c r="F83" i="1"/>
  <c r="B82" i="1"/>
  <c r="C80" i="1"/>
  <c r="D78" i="1"/>
  <c r="F76" i="1"/>
  <c r="G74" i="1"/>
  <c r="B73" i="1"/>
  <c r="D71" i="1"/>
  <c r="E69" i="1"/>
  <c r="F67" i="1"/>
  <c r="B66" i="1"/>
  <c r="C64" i="1"/>
  <c r="D62" i="1"/>
  <c r="F60" i="1"/>
  <c r="G58" i="1"/>
  <c r="B57" i="1"/>
  <c r="D55" i="1"/>
  <c r="E53" i="1"/>
  <c r="F51" i="1"/>
  <c r="B50" i="1"/>
  <c r="C48" i="1"/>
  <c r="D46" i="1"/>
  <c r="F44" i="1"/>
  <c r="G42" i="1"/>
  <c r="B41" i="1"/>
  <c r="D39" i="1"/>
  <c r="E37" i="1"/>
  <c r="F35" i="1"/>
  <c r="B34" i="1"/>
  <c r="C32" i="1"/>
  <c r="F30" i="1"/>
  <c r="O29" i="1"/>
  <c r="D29" i="1"/>
  <c r="M28" i="1"/>
  <c r="B28" i="1"/>
  <c r="J27" i="1"/>
  <c r="Q26" i="1"/>
  <c r="F26" i="1"/>
  <c r="O25" i="1"/>
  <c r="D25" i="1"/>
  <c r="M24" i="1"/>
  <c r="B24" i="1"/>
  <c r="J23" i="1"/>
  <c r="F22" i="1"/>
  <c r="O21" i="1"/>
  <c r="D21" i="1"/>
  <c r="M20" i="1"/>
  <c r="B20" i="1"/>
  <c r="J19" i="1"/>
  <c r="F18" i="1"/>
  <c r="O17" i="1"/>
  <c r="D17" i="1"/>
  <c r="E16" i="1"/>
  <c r="N15" i="1"/>
  <c r="C15" i="1"/>
  <c r="F11" i="1"/>
  <c r="F7" i="1"/>
  <c r="C98" i="1"/>
  <c r="F97" i="1"/>
  <c r="M96" i="1"/>
  <c r="E95" i="1"/>
  <c r="F93" i="1"/>
  <c r="B92" i="1"/>
  <c r="C90" i="1"/>
  <c r="D88" i="1"/>
  <c r="F86" i="1"/>
  <c r="G84" i="1"/>
  <c r="B83" i="1"/>
  <c r="D81" i="1"/>
  <c r="E79" i="1"/>
  <c r="F77" i="1"/>
  <c r="C74" i="1"/>
  <c r="D72" i="1"/>
  <c r="F70" i="1"/>
  <c r="B67" i="1"/>
  <c r="E63" i="1"/>
  <c r="B60" i="1"/>
  <c r="D56" i="1"/>
  <c r="G52" i="1"/>
  <c r="D49" i="1"/>
  <c r="F45" i="1"/>
  <c r="B44" i="1"/>
  <c r="D40" i="1"/>
  <c r="G36" i="1"/>
  <c r="D33" i="1"/>
  <c r="C30" i="1"/>
  <c r="R28" i="1"/>
  <c r="P27" i="1"/>
  <c r="N26" i="1"/>
  <c r="L25" i="1"/>
  <c r="G24" i="1"/>
  <c r="E23" i="1"/>
  <c r="C22" i="1"/>
  <c r="L21" i="1"/>
  <c r="G20" i="1"/>
  <c r="E19" i="1"/>
  <c r="L17" i="1"/>
  <c r="B16" i="1"/>
  <c r="F14" i="1"/>
  <c r="E5" i="1"/>
  <c r="C22" i="6"/>
  <c r="O16" i="6"/>
  <c r="N9" i="6"/>
  <c r="E4" i="6"/>
  <c r="S134" i="1"/>
  <c r="M120" i="1"/>
  <c r="F110" i="1"/>
  <c r="P101" i="1"/>
  <c r="F100" i="1"/>
  <c r="O98" i="1"/>
  <c r="E97" i="1"/>
  <c r="D95" i="1"/>
  <c r="F91" i="1"/>
  <c r="C88" i="1"/>
  <c r="F84" i="1"/>
  <c r="B81" i="1"/>
  <c r="E77" i="1"/>
  <c r="B74" i="1"/>
  <c r="D70" i="1"/>
  <c r="G66" i="1"/>
  <c r="D63" i="1"/>
  <c r="F59" i="1"/>
  <c r="C56" i="1"/>
  <c r="F52" i="1"/>
  <c r="M22" i="6"/>
  <c r="H20" i="6"/>
  <c r="E18" i="6"/>
  <c r="D17" i="6"/>
  <c r="C16" i="6"/>
  <c r="A15" i="6"/>
  <c r="B9" i="6"/>
  <c r="B8" i="6"/>
  <c r="C6" i="6"/>
  <c r="F5" i="6"/>
  <c r="G4" i="6"/>
  <c r="C3" i="6"/>
  <c r="S141" i="1"/>
  <c r="M136" i="1"/>
  <c r="O132" i="1"/>
  <c r="M121" i="1"/>
  <c r="S112" i="1"/>
  <c r="D109" i="1"/>
  <c r="N103" i="1"/>
  <c r="Q101" i="1"/>
  <c r="D101" i="1"/>
  <c r="G100" i="1"/>
  <c r="M99" i="1"/>
  <c r="Q98" i="1"/>
  <c r="B76" i="1"/>
  <c r="G68" i="1"/>
  <c r="D65" i="1"/>
  <c r="F61" i="1"/>
  <c r="C58" i="1"/>
  <c r="F54" i="1"/>
  <c r="B51" i="1"/>
  <c r="E47" i="1"/>
  <c r="C42" i="1"/>
  <c r="F38" i="1"/>
  <c r="B35" i="1"/>
  <c r="E31" i="1"/>
  <c r="L29" i="1"/>
  <c r="G28" i="1"/>
  <c r="E27" i="1"/>
  <c r="C26" i="1"/>
  <c r="R24" i="1"/>
  <c r="P23" i="1"/>
  <c r="R20" i="1"/>
  <c r="P19" i="1"/>
  <c r="C18" i="1"/>
  <c r="R16" i="1"/>
  <c r="J15" i="1"/>
  <c r="B10" i="1"/>
  <c r="O17" i="6"/>
  <c r="M15" i="6"/>
  <c r="A5" i="6"/>
  <c r="A3" i="6"/>
  <c r="S139" i="1"/>
  <c r="M131" i="1"/>
  <c r="M129" i="1"/>
  <c r="M103" i="1"/>
  <c r="B101" i="1"/>
  <c r="L99" i="1"/>
  <c r="B98" i="1"/>
  <c r="J96" i="1"/>
  <c r="E93" i="1"/>
  <c r="B90" i="1"/>
  <c r="D86" i="1"/>
  <c r="G82" i="1"/>
  <c r="D79" i="1"/>
  <c r="F75" i="1"/>
  <c r="C72" i="1"/>
  <c r="F68" i="1"/>
  <c r="B65" i="1"/>
  <c r="E61" i="1"/>
  <c r="B58" i="1"/>
  <c r="D54" i="1"/>
  <c r="H21" i="6"/>
  <c r="S138" i="1"/>
  <c r="S111" i="1"/>
  <c r="F102" i="1"/>
  <c r="E99" i="1"/>
  <c r="D96" i="1"/>
  <c r="D89" i="1"/>
  <c r="C82" i="1"/>
  <c r="B75" i="1"/>
  <c r="B68" i="1"/>
  <c r="G60" i="1"/>
  <c r="F53" i="1"/>
  <c r="B49" i="1"/>
  <c r="E45" i="1"/>
  <c r="B42" i="1"/>
  <c r="D38" i="1"/>
  <c r="G34" i="1"/>
  <c r="D31" i="1"/>
  <c r="J29" i="1"/>
  <c r="F28" i="1"/>
  <c r="D27" i="1"/>
  <c r="B26" i="1"/>
  <c r="Q24" i="1"/>
  <c r="O23" i="1"/>
  <c r="J21" i="1"/>
  <c r="F20" i="1"/>
  <c r="D19" i="1"/>
  <c r="J17" i="1"/>
  <c r="R15" i="1"/>
  <c r="E14" i="1"/>
  <c r="B5" i="1"/>
  <c r="F19" i="6"/>
  <c r="N3" i="6"/>
  <c r="O134" i="1"/>
  <c r="L101" i="1"/>
  <c r="J98" i="1"/>
  <c r="F94" i="1"/>
  <c r="E87" i="1"/>
  <c r="D80" i="1"/>
  <c r="D73" i="1"/>
  <c r="C66" i="1"/>
  <c r="B59" i="1"/>
  <c r="B52" i="1"/>
  <c r="D48" i="1"/>
  <c r="G44" i="1"/>
  <c r="D41" i="1"/>
  <c r="F37" i="1"/>
  <c r="C34" i="1"/>
  <c r="G30" i="1"/>
  <c r="E29" i="1"/>
  <c r="C28" i="1"/>
  <c r="R26" i="1"/>
  <c r="P25" i="1"/>
  <c r="N24" i="1"/>
  <c r="L23" i="1"/>
  <c r="G22" i="1"/>
  <c r="E21" i="1"/>
  <c r="C20" i="1"/>
  <c r="G18" i="1"/>
  <c r="E17" i="1"/>
  <c r="O15" i="1"/>
  <c r="B14" i="1"/>
  <c r="N17" i="6"/>
  <c r="G14" i="6"/>
  <c r="O100" i="1"/>
  <c r="O97" i="1"/>
  <c r="G92" i="1"/>
  <c r="F85" i="1"/>
  <c r="F78" i="1"/>
  <c r="E71" i="1"/>
  <c r="D64" i="1"/>
  <c r="D57" i="1"/>
  <c r="G50" i="1"/>
  <c r="D47" i="1"/>
  <c r="F43" i="1"/>
  <c r="C40" i="1"/>
  <c r="F36" i="1"/>
  <c r="B33" i="1"/>
  <c r="B30" i="1"/>
  <c r="Q28" i="1"/>
  <c r="O27" i="1"/>
  <c r="M26" i="1"/>
  <c r="J25" i="1"/>
  <c r="F24" i="1"/>
  <c r="D23" i="1"/>
  <c r="B22" i="1"/>
  <c r="Q20" i="1"/>
  <c r="O19" i="1"/>
  <c r="B18" i="1"/>
  <c r="Q16" i="1"/>
  <c r="G15" i="1"/>
  <c r="F9" i="1"/>
  <c r="G7" i="6"/>
  <c r="M117" i="1"/>
  <c r="B100" i="1"/>
  <c r="R96" i="1"/>
  <c r="B91" i="1"/>
  <c r="B84" i="1"/>
  <c r="G76" i="1"/>
  <c r="F69" i="1"/>
  <c r="F62" i="1"/>
  <c r="E55" i="1"/>
  <c r="C50" i="1"/>
  <c r="F46" i="1"/>
  <c r="B43" i="1"/>
  <c r="E39" i="1"/>
  <c r="B36" i="1"/>
  <c r="D32" i="1"/>
  <c r="P29" i="1"/>
  <c r="N28" i="1"/>
  <c r="L27" i="1"/>
  <c r="G26" i="1"/>
  <c r="E25" i="1"/>
  <c r="C24" i="1"/>
  <c r="P21" i="1"/>
  <c r="N20" i="1"/>
  <c r="L19" i="1"/>
  <c r="P17" i="1"/>
  <c r="F16" i="1"/>
  <c r="D15" i="1"/>
  <c r="B8" i="1"/>
  <c r="R22" i="1" l="1"/>
  <c r="D124" i="1"/>
  <c r="H111" i="1"/>
  <c r="H128" i="1"/>
  <c r="J22" i="1"/>
  <c r="B119" i="1"/>
  <c r="B121" i="1"/>
  <c r="H129" i="1"/>
  <c r="H112" i="1"/>
  <c r="D122" i="1"/>
  <c r="B126" i="1"/>
  <c r="H131" i="1"/>
  <c r="H124" i="1"/>
  <c r="M22" i="1"/>
  <c r="Q22" i="1"/>
  <c r="B112" i="1"/>
  <c r="B120" i="1"/>
  <c r="B123" i="1"/>
  <c r="H126" i="1"/>
  <c r="N22" i="1"/>
  <c r="B109" i="1"/>
  <c r="B117" i="1"/>
  <c r="D118" i="1"/>
  <c r="D119" i="1"/>
  <c r="D120" i="1"/>
  <c r="H121" i="1"/>
  <c r="D123" i="1"/>
  <c r="B125" i="1"/>
  <c r="H127" i="1"/>
  <c r="B130" i="1"/>
  <c r="P2" i="6"/>
  <c r="O22" i="1"/>
  <c r="H109" i="1"/>
  <c r="B110" i="1"/>
  <c r="B111" i="1"/>
  <c r="H117" i="1"/>
  <c r="H118" i="1"/>
  <c r="H119" i="1"/>
  <c r="B122" i="1"/>
  <c r="H123" i="1"/>
  <c r="H125" i="1"/>
  <c r="B128" i="1"/>
  <c r="H130" i="1"/>
  <c r="L22" i="1"/>
  <c r="P22" i="1"/>
  <c r="H110" i="1"/>
  <c r="D117" i="1"/>
  <c r="B118" i="1"/>
  <c r="H120" i="1"/>
  <c r="D121" i="1"/>
  <c r="H122" i="1"/>
  <c r="B124" i="1"/>
  <c r="D125" i="1"/>
  <c r="B127" i="1"/>
  <c r="B129" i="1"/>
  <c r="B131" i="1"/>
  <c r="J4" i="6"/>
  <c r="P29" i="6" l="1"/>
  <c r="P25" i="6"/>
  <c r="P21" i="6"/>
  <c r="P17" i="6"/>
  <c r="P11" i="6"/>
  <c r="P7" i="6"/>
  <c r="P3" i="6"/>
  <c r="P28" i="6"/>
  <c r="P24" i="6"/>
  <c r="P27" i="6"/>
  <c r="P15" i="6"/>
  <c r="P10" i="6"/>
  <c r="P26" i="6"/>
  <c r="P20" i="6"/>
  <c r="P14" i="6"/>
  <c r="P12" i="6"/>
  <c r="P23" i="6"/>
  <c r="P16" i="6"/>
  <c r="P9" i="6"/>
  <c r="P8" i="6"/>
  <c r="P22" i="6"/>
  <c r="P18" i="6"/>
  <c r="P5" i="6"/>
  <c r="P13" i="6"/>
  <c r="P6" i="6"/>
  <c r="P19" i="6"/>
  <c r="P4" i="6"/>
  <c r="J8" i="6"/>
  <c r="J23" i="6"/>
  <c r="J5" i="6"/>
  <c r="J9" i="6"/>
  <c r="J22" i="6"/>
  <c r="J18" i="6"/>
  <c r="J20" i="6"/>
  <c r="J21" i="6"/>
  <c r="J17" i="6"/>
  <c r="J7" i="6"/>
  <c r="J16" i="6"/>
  <c r="J6" i="6"/>
  <c r="J19" i="6"/>
  <c r="J15" i="6"/>
</calcChain>
</file>

<file path=xl/sharedStrings.xml><?xml version="1.0" encoding="utf-8"?>
<sst xmlns="http://schemas.openxmlformats.org/spreadsheetml/2006/main" count="482" uniqueCount="209">
  <si>
    <t>d19041523.IB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</si>
  <si>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</si>
  <si>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</si>
  <si>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</si>
  <si>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</si>
  <si>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</si>
  <si>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</si>
  <si>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</si>
  <si>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</si>
  <si>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</si>
  <si>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</si>
  <si>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</si>
  <si>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</si>
  <si>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</si>
  <si>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</si>
  <si>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</si>
  <si>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</si>
  <si>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</si>
  <si>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</si>
  <si>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</si>
  <si>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</si>
  <si>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</si>
  <si>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</si>
  <si>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041456037.IB</t>
  </si>
  <si>
    <t>主体级别</t>
  </si>
  <si>
    <t>AAA</t>
  </si>
  <si>
    <t>011486003.IB</t>
  </si>
  <si>
    <t>*选择性黏贴</t>
  </si>
  <si>
    <t>041466014.IB</t>
  </si>
  <si>
    <t>数据年度</t>
  </si>
  <si>
    <t>2017年</t>
  </si>
  <si>
    <t>1380130.IB</t>
  </si>
  <si>
    <t>总资产</t>
  </si>
  <si>
    <t>112017.SZ</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</si>
  <si>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</si>
  <si>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</si>
  <si>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</si>
  <si>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</si>
  <si>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</si>
  <si>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</si>
  <si>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</si>
  <si>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</si>
  <si>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</si>
  <si>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</si>
  <si>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</si>
  <si>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</si>
  <si>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</si>
  <si>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</si>
  <si>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</si>
  <si>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</si>
  <si>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</si>
  <si>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</si>
  <si>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</si>
  <si>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</si>
  <si>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</si>
  <si>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</si>
  <si>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</si>
  <si>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</si>
  <si>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</si>
  <si>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</si>
  <si>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</si>
  <si>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</si>
  <si>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</si>
  <si>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</si>
  <si>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</si>
  <si>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</si>
  <si>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</si>
  <si>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</si>
  <si>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</si>
  <si>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</si>
  <si>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</si>
  <si>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</si>
  <si>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</si>
  <si>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</si>
  <si>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</si>
  <si>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</si>
  <si>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</si>
  <si>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</si>
  <si>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</si>
  <si>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</si>
  <si>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</si>
  <si>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</si>
  <si>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</si>
  <si>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</si>
  <si>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</si>
  <si>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</si>
  <si>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</si>
  <si>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</si>
  <si>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</si>
  <si>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</si>
  <si>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</si>
  <si>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</si>
  <si>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</si>
  <si>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</si>
  <si>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</si>
  <si>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</si>
  <si>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</si>
  <si>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</si>
  <si>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</si>
  <si>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</si>
  <si>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</si>
  <si>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</si>
  <si>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</si>
  <si>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</si>
  <si>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</si>
  <si>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</si>
  <si>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</si>
  <si>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</si>
  <si>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</si>
  <si>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</si>
  <si>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</si>
  <si>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</si>
  <si>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</si>
  <si>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</si>
  <si>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</si>
  <si>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</si>
  <si>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</si>
  <si>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</si>
  <si>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</si>
  <si>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历史主体评级</t>
  </si>
  <si>
    <t>发布日期</t>
  </si>
  <si>
    <t>主体资信级别</t>
  </si>
  <si>
    <t>评级展望</t>
  </si>
  <si>
    <t>评级机构</t>
  </si>
  <si>
    <t>20190402</t>
  </si>
  <si>
    <t>稳定</t>
  </si>
  <si>
    <t>中诚信国际信用评级有限责任公司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</si>
  <si>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</si>
  <si>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</si>
  <si>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</si>
  <si>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</si>
  <si>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</si>
  <si>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</si>
  <si>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</si>
  <si>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</si>
  <si>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</si>
  <si>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</si>
  <si>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西王集团有限公司</t>
  </si>
  <si>
    <t>维持AA+级评级</t>
  </si>
  <si>
    <t>东方金诚国际信用评估有限公司</t>
  </si>
  <si>
    <t>北京首农食品集团有限公司</t>
  </si>
  <si>
    <t>AA+稳定上调至AAA稳定</t>
  </si>
  <si>
    <t>联合资信评估有限公司</t>
  </si>
  <si>
    <t>公司承担着北京市和部分中央的政策性粮油储备职能，已开发保障房项目受到北京市政府有力支持，新成立的财务公司有利于加强资金集中管理，成为上市公司第一大股东有利于丰富融资渠道，盈利能力有所提高。</t>
  </si>
  <si>
    <t>北京顺鑫农业股份有限公司</t>
  </si>
  <si>
    <t>AA稳定上调至AA+稳定</t>
  </si>
  <si>
    <t>2017年以来，公司持续聚焦优化经营格局，在剥离盈利能力及竞争实力相对较
弱的建筑工程业务后，综合盈利能力得到明显提升。公司经营活动净现金流同比大幅提升，有息债务规模持续收缩，偿债能力进一步增强。未来，随着大众消费水平、外埠市场产品结构逐步升级及牛栏山升级改造项目投产，公司白酒制造业务规模有望保持较快增速，盈利能力保持良好水平。</t>
  </si>
  <si>
    <t>苏州市农业发展集团有限公司</t>
  </si>
  <si>
    <t>中诚信证券评估有限公司</t>
  </si>
  <si>
    <t>公司所处区域经营环境良好，享受到政策支持力度较大，资本实力有所提升以及相关板块业务具有较好的发展前景。</t>
  </si>
  <si>
    <t>宁夏农垦集团有限公司</t>
  </si>
  <si>
    <t>鹏元资信评估有限公司</t>
  </si>
  <si>
    <t>公司作为宁夏地区最大的现代农业企业，经营范围广，产业链逐步完善，政府对公司支持力度较大，同时新注入的土地提升了公司整体实力。</t>
  </si>
  <si>
    <t>近一年来同行业发债企业主体评级下调情况</t>
  </si>
  <si>
    <t>主体资信级别下调</t>
  </si>
  <si>
    <t>主体评级展望下调</t>
  </si>
  <si>
    <t>河南众品食品有限公司</t>
  </si>
  <si>
    <t>BB下调至C</t>
  </si>
  <si>
    <t xml:space="preserve">公司于2019 年1 月11 日发布《河南众品食品有限公司2017 年度第一期中期票据到期本息兑付存在不确定性的特别风险提示公告》， 称其资金紧张， 融资受限， 流动性存在压力， “ 17 众品MTNO 01 ” 到期本息兑付存在不确定性， 但其仍在积极筹措偿债资金。
</t>
  </si>
  <si>
    <t>河南众品食业股份有限公司</t>
  </si>
  <si>
    <t>AA-负面下调至C</t>
  </si>
  <si>
    <t>洛娃科技实业集团有限公司</t>
  </si>
  <si>
    <t>B下调至C</t>
  </si>
  <si>
    <t>联合信用评级有限公司</t>
  </si>
  <si>
    <t xml:space="preserve">根据公司于2018 年12 月6 日发布的《洛娃科技实业集团有限公司2017 年度第一期短期融资券未按时足额偿付债务融资工具本息的公告》公司未能按期足额偿付“17洛娃科技CP001” 本息，构成实质性违约。公司再融资渠道受阻，“ 15洛娃01 ” 将于2018 年12 月28 日全额（ 10 亿元） 回售，公司面临回售偿本付息压力。
</t>
  </si>
  <si>
    <t>雏鹰农牧集团股份有限公司</t>
  </si>
  <si>
    <t>AA稳定下调至C</t>
  </si>
  <si>
    <t>“18雏鹰农牧SCP001”未能按期足额兑付本息，已构成实质性违约。</t>
  </si>
  <si>
    <t>皇氏集团股份有限公司</t>
  </si>
  <si>
    <t>AA稳定下调至AA负面</t>
  </si>
  <si>
    <t>受转让子公司盛世骄阳股权形成投资损失0.90 亿元影响，2018 年上半年出现经营亏损；受子公司盛世骄阳和御嘉影视销售商品提供劳务收到的现金减少影响，公司经营性净现金流弱化；受影视剧监管政策趋严影响，子公司御嘉影视电视剧制作发行进度放缓致净利润下滑；公司收购御嘉影视形成商誉规模仍较大，若未来经营不及预期，相关商誉资产仍存在一定减值风险；公司转让盛世骄阳股权至宁波智莲的工商变更手续完成，宁波智莲承接公司享有的盛世骄阳相关债权并为公司对盛世骄阳担保金额提供反担保，若后续盛世骄阳及宁波智莲经营不达预期，相关债权将存在部分或全部不能收回风险也将增加公司相关债务。</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</si>
  <si>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</si>
  <si>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</si>
  <si>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</si>
  <si>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</si>
  <si>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</si>
  <si>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</si>
  <si>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</si>
  <si>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</si>
  <si>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</si>
  <si>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</si>
  <si>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</si>
  <si>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</si>
  <si>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</si>
  <si>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</si>
  <si>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</si>
  <si>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</si>
  <si>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</si>
  <si>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</si>
  <si>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</si>
  <si>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</si>
  <si>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</si>
  <si>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</si>
  <si>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</si>
  <si>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</si>
  <si>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</si>
  <si>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中国蒙牛乳业有限公司</t>
  </si>
  <si>
    <t>中央国有企业</t>
  </si>
  <si>
    <t>日常消费--食品、饮料与烟草--食品--食品加工与肉类</t>
  </si>
  <si>
    <t>P.O. Box 309 Ugland House Grand Cayman KY1-1104 Cayman Islands</t>
  </si>
  <si>
    <t>集团于中国生产及销售优质乳制品。凭借其主要品牌蒙牛，集团已成为中国领先的乳制品生产商之一。集团提供多元化的产品，包括液体奶(如UHT奶、乳饮料及酸奶)、冰淇淋及其他乳制品(如奶粉)。根据中国行业企业信息发布中心的资料，蒙牛液体奶荣列2012年度全国市场同类产品销量、销售额第一名。</t>
  </si>
  <si>
    <t/>
  </si>
  <si>
    <t>黑龙江北大荒农垦集团总公司</t>
  </si>
  <si>
    <t>光明食品(集团)有限公司</t>
  </si>
  <si>
    <t>湖北省长江产业投资集团有限公司</t>
  </si>
  <si>
    <t>北京粮食集团有限责任公司</t>
  </si>
  <si>
    <t>新希望六和股份有限公司</t>
  </si>
  <si>
    <t>地方国有企业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</si>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</sst>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中国蒙牛乳业有限公司</v>
      </c>
      <c r="C4" s="120"/>
      <c r="D4" s="57" t="s">
        <v>3</v>
      </c>
      <c r="E4" s="119" t="str">
        <f>[1]!s_info_nature(A2)</f>
        <v>中央国有企业</v>
      </c>
      <c r="F4" s="120"/>
      <c r="G4" s="120"/>
      <c r="H4" s="19"/>
    </row>
    <row r="5" spans="1:20" s="17" customFormat="1" ht="14.25" customHeight="1" x14ac:dyDescent="0.25">
      <c r="A5" s="57" t="s">
        <v>4</v>
      </c>
      <c r="B5" s="119" t="str">
        <f>[1]!b_issuer_windindustry(A2,9)</f>
        <v>日常消费--食品、饮料与烟草--食品--食品加工与肉类</v>
      </c>
      <c r="C5" s="120"/>
      <c r="D5" s="57" t="s">
        <v>5</v>
      </c>
      <c r="E5" s="119" t="str">
        <f>[1]!b_issuer_regaddress(A2)</f>
        <v>P.O. Box 309 Ugland House Grand Cayman KY1-1104 Cayman Islands</v>
      </c>
      <c r="F5" s="120"/>
      <c r="G5" s="120"/>
    </row>
    <row r="6" spans="1:20" s="17" customFormat="1" ht="81" customHeight="1" x14ac:dyDescent="0.25">
      <c r="A6" s="57" t="s">
        <v>6</v>
      </c>
      <c r="B6" s="121" t="str">
        <f>[1]!s_info_briefing(A2)</f>
        <v>集团于中国生产及销售优质乳制品。凭借其主要品牌蒙牛，集团已成为中国领先的乳制品生产商之一。集团提供多元化的产品，包括液体奶(如UHT奶、乳饮料及酸奶)、冰淇淋及其他乳制品(如奶粉)。根据中国行业企业信息发布中心的资料，蒙牛液体奶荣列2012年度全国市场同类产品销量、销售额第一名。</v>
      </c>
      <c r="C6" s="120"/>
      <c r="D6" s="120"/>
      <c r="E6" s="120"/>
      <c r="F6" s="120"/>
      <c r="G6" s="120"/>
    </row>
    <row r="7" spans="1:20" s="17" customFormat="1" x14ac:dyDescent="0.25">
      <c r="A7" s="59" t="s">
        <v>7</v>
      </c>
      <c r="B7" s="122">
        <f>[1]!b_issuer_shareholder(A2,"",1)</f>
        <v>0</v>
      </c>
      <c r="C7" s="120"/>
      <c r="D7" s="120"/>
      <c r="E7" s="120"/>
      <c r="F7" s="61">
        <f>[1]!b_issuer_propofshareholder($A$2,"",1)%</f>
        <v>0</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d19041523.IB</v>
      </c>
      <c r="K14" s="26"/>
      <c r="L14" s="27" t="str">
        <f>T15</f>
        <v>041456037.IB</v>
      </c>
      <c r="M14" s="27" t="str">
        <f>T16</f>
        <v>011486003.IB</v>
      </c>
      <c r="N14" s="27" t="str">
        <f>T17</f>
        <v>041466014.IB</v>
      </c>
      <c r="O14" s="27" t="str">
        <f>T18</f>
        <v>1380130.IB</v>
      </c>
      <c r="P14" s="27" t="str">
        <f>T19</f>
        <v>112017.SZ</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中国蒙牛乳业有限公司</v>
      </c>
      <c r="K15" s="138"/>
      <c r="L15" s="8" t="str">
        <f>[1]!b_info_issuer(L14)</f>
        <v>黑龙江北大荒农垦集团总公司</v>
      </c>
      <c r="M15" s="8" t="str">
        <f>[1]!b_info_issuer(M14)</f>
        <v>光明食品(集团)有限公司</v>
      </c>
      <c r="N15" s="8" t="str">
        <f>[1]!b_info_issuer(N14)</f>
        <v>湖北省长江产业投资集团有限公司</v>
      </c>
      <c r="O15" s="8" t="str">
        <f>[1]!b_info_issuer(O14)</f>
        <v>北京粮食集团有限责任公司</v>
      </c>
      <c r="P15" s="8" t="str">
        <f>[1]!b_info_issuer(P14)</f>
        <v>新希望六和股份有限公司</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24"/>
      <c r="L17" s="67" t="str">
        <f>[1]!s_info_nature(L14)</f>
        <v>中央国有企业</v>
      </c>
      <c r="M17" s="67" t="str">
        <f>[1]!s_info_nature(M14)</f>
        <v>地方国有企业</v>
      </c>
      <c r="N17" s="67" t="str">
        <f>[1]!s_info_nature(N14)</f>
        <v>地方国有企业</v>
      </c>
      <c r="O17" s="67" t="str">
        <f>[1]!s_info_nature(O14)</f>
        <v>地方国有企业</v>
      </c>
      <c r="P17" s="67" t="str">
        <f>[1]!s_info_nature(P14)</f>
        <v>民营企业</v>
      </c>
      <c r="Q17" s="67">
        <f>[1]!s_info_nature(Q14)</f>
        <v>0</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581.38730999999996</v>
      </c>
      <c r="K19" s="124"/>
      <c r="L19" s="68">
        <f>[1]!b_stm07_bs(L14,74,L13,1)/100000000</f>
        <v>1916.0012186992001</v>
      </c>
      <c r="M19" s="68">
        <f>[1]!b_stm07_bs(M14,74,M13,1)/100000000</f>
        <v>2459.5892724582</v>
      </c>
      <c r="N19" s="68">
        <f>[1]!b_stm07_bs(N14,74,N13,1)/100000000</f>
        <v>1874.7104215032</v>
      </c>
      <c r="O19" s="68">
        <f>[1]!b_stm07_bs(O14,74,O13,1)/100000000</f>
        <v>262.0691325537</v>
      </c>
      <c r="P19" s="68">
        <f>[1]!b_stm07_bs(P14,74,P13,1)/100000000</f>
        <v>424.51633023980003</v>
      </c>
      <c r="Q19" s="68">
        <f>[1]!b_stm07_bs(Q14,74,Q13,1)/100000000</f>
        <v>0</v>
      </c>
      <c r="R19" s="68">
        <f>[1]!b_stm07_bs(R14,74,R13,1)/100000000</f>
        <v>0</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v>
      </c>
      <c r="K20" s="124"/>
      <c r="L20" s="10">
        <f>[1]!s_fa_debttoassets(L14,L13)/100</f>
        <v>0.78647099999999992</v>
      </c>
      <c r="M20" s="10">
        <f>[1]!s_fa_debttoassets(M14,M13)/100</f>
        <v>0.64032100000000003</v>
      </c>
      <c r="N20" s="10">
        <f>[1]!s_fa_debttoassets(N14,N13)/100</f>
        <v>0.66195899999999996</v>
      </c>
      <c r="O20" s="10">
        <f>[1]!s_fa_debttoassets(O14,O13)/100</f>
        <v>0.70361699999999994</v>
      </c>
      <c r="P20" s="10">
        <f>[1]!s_fa_debttoassets(P14,P13)/100</f>
        <v>0.38201000000000002</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35</v>
      </c>
      <c r="J21" s="68">
        <f>[1]!s_fa_current(J14,J13)</f>
        <v>0</v>
      </c>
      <c r="K21" s="124"/>
      <c r="L21" s="68">
        <f>[1]!s_fa_current(L14,L13)</f>
        <v>0.92269999999999996</v>
      </c>
      <c r="M21" s="68">
        <f>[1]!s_fa_current(M14,M13)</f>
        <v>1.2113</v>
      </c>
      <c r="N21" s="68">
        <f>[1]!s_fa_current(N14,N13)</f>
        <v>3.8130999999999999</v>
      </c>
      <c r="O21" s="68">
        <f>[1]!s_fa_current(O14,O13)</f>
        <v>1.1033999999999999</v>
      </c>
      <c r="P21" s="68">
        <f>[1]!s_fa_current(P14,P13)</f>
        <v>0.83320000000000005</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36</v>
      </c>
      <c r="J22" s="66">
        <f>(J96+J97+J98+J99+J100+J101)/J103</f>
        <v>0</v>
      </c>
      <c r="K22" s="124"/>
      <c r="L22" s="66">
        <f>(公式页!L96+公式页!L97+公式页!L98+公式页!L99+公式页!L100+公式页!L101)/公式页!L103</f>
        <v>1.8507842173121929</v>
      </c>
      <c r="M22" s="66">
        <f t="shared" ref="M22:R22" si="0">(M96+M97+M98+M99+M100+M101)/M103</f>
        <v>0.8931903103102089</v>
      </c>
      <c r="N22" s="66">
        <f t="shared" si="0"/>
        <v>0.64976953171532126</v>
      </c>
      <c r="O22" s="66">
        <f t="shared" si="0"/>
        <v>1.8780247526835196</v>
      </c>
      <c r="P22" s="66">
        <f t="shared" si="0"/>
        <v>0.34148927270902552</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37</v>
      </c>
      <c r="J23" s="68">
        <f>[1]!s_fa_ebitdatodebt(J14,J13)</f>
        <v>0</v>
      </c>
      <c r="K23" s="124"/>
      <c r="L23" s="68">
        <f>[1]!s_fa_ebitdatodebt(L14,L13)</f>
        <v>5.2499999999999998E-2</v>
      </c>
      <c r="M23" s="68">
        <f>[1]!s_fa_ebitdatodebt(M14,M13)</f>
        <v>8.0100000000000005E-2</v>
      </c>
      <c r="N23" s="68">
        <f>[1]!s_fa_ebitdatodebt(N14,N13)</f>
        <v>6.1999999999999998E-3</v>
      </c>
      <c r="O23" s="68">
        <f>[1]!s_fa_ebitdatodebt(O14,O13)</f>
        <v>0.10639999999999999</v>
      </c>
      <c r="P23" s="68">
        <f>[1]!s_fa_ebitdatodebt(P14,P13)</f>
        <v>0.28699999999999998</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38</v>
      </c>
      <c r="J24" s="68">
        <f>[1]!b_stm07_is(J14,9,J13,1)/100000000</f>
        <v>601.55622000000005</v>
      </c>
      <c r="K24" s="124"/>
      <c r="L24" s="68">
        <f>[1]!b_stm07_is(L14,9,L13,1)/100000000</f>
        <v>1056.6708997082001</v>
      </c>
      <c r="M24" s="68">
        <f>[1]!b_stm07_is(M14,9,M13,1)/100000000</f>
        <v>1607.2895351151001</v>
      </c>
      <c r="N24" s="68">
        <f>[1]!b_stm07_is(N14,9,N13,1)/100000000</f>
        <v>64.320530505299999</v>
      </c>
      <c r="O24" s="68">
        <f>[1]!b_stm07_is(O14,9,O13,1)/100000000</f>
        <v>335.8163587121</v>
      </c>
      <c r="P24" s="68">
        <f>[1]!b_stm07_is(P14,9,P13,1)/100000000</f>
        <v>625.66848592709994</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39</v>
      </c>
      <c r="J25" s="11">
        <f>[1]!s_fa_salescashintoor(J14,J13)%</f>
        <v>0</v>
      </c>
      <c r="K25" s="124"/>
      <c r="L25" s="11">
        <f>[1]!s_fa_salescashintoor(L14,L13)%</f>
        <v>1.0569</v>
      </c>
      <c r="M25" s="11">
        <f>[1]!s_fa_salescashintoor(M14,M13)%</f>
        <v>1.1211</v>
      </c>
      <c r="N25" s="11">
        <f>[1]!s_fa_salescashintoor(N14,N13)%</f>
        <v>0.85019999999999996</v>
      </c>
      <c r="O25" s="11">
        <f>[1]!s_fa_salescashintoor(O14,O13)%</f>
        <v>1.0657000000000001</v>
      </c>
      <c r="P25" s="11">
        <f>[1]!s_fa_salescashintoor(P14,P13)%</f>
        <v>1.0271999999999999</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40</v>
      </c>
      <c r="J26" s="11">
        <f>[1]!s_fa_grossprofitmargin(J14,J13)%</f>
        <v>0</v>
      </c>
      <c r="K26" s="124"/>
      <c r="L26" s="11">
        <f>[1]!s_fa_grossprofitmargin(L14,L13)%</f>
        <v>0.17522599999999999</v>
      </c>
      <c r="M26" s="11">
        <f>[1]!s_fa_grossprofitmargin(M14,M13)%</f>
        <v>0.19760999999999998</v>
      </c>
      <c r="N26" s="11">
        <f>[1]!s_fa_grossprofitmargin(N14,N13)%</f>
        <v>0.18479399999999999</v>
      </c>
      <c r="O26" s="11">
        <f>[1]!s_fa_grossprofitmargin(O14,O13)%</f>
        <v>9.2729000000000006E-2</v>
      </c>
      <c r="P26" s="11">
        <f>[1]!s_fa_grossprofitmargin(P14,P13)%</f>
        <v>8.1491000000000008E-2</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41</v>
      </c>
      <c r="J27" s="69">
        <f>[1]!b_stm07_is(J14,60,J13,1)/100000000</f>
        <v>20.30678</v>
      </c>
      <c r="K27" s="124"/>
      <c r="L27" s="69">
        <f>[1]!b_stm07_is(L14,60,L13,1)/100000000</f>
        <v>0.73290077779999996</v>
      </c>
      <c r="M27" s="69">
        <f>[1]!b_stm07_is(M14,60,M13,1)/100000000</f>
        <v>33.174695605700002</v>
      </c>
      <c r="N27" s="69">
        <f>[1]!b_stm07_is(N14,60,N13,1)/100000000</f>
        <v>1.6854671668999999</v>
      </c>
      <c r="O27" s="69">
        <f>[1]!b_stm07_is(O14,60,O13,1)/100000000</f>
        <v>8.4489755974000005</v>
      </c>
      <c r="P27" s="69">
        <f>[1]!b_stm07_is(P14,60,P13,1)/100000000</f>
        <v>29.322099705900001</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42</v>
      </c>
      <c r="I28" s="54" t="s">
        <v>43</v>
      </c>
      <c r="J28" s="10">
        <f>[1]!s_fa_roe(J14,J13)%</f>
        <v>0</v>
      </c>
      <c r="K28" s="124"/>
      <c r="L28" s="10">
        <f>[1]!s_fa_roe(L14,L13)%</f>
        <v>-2.1877000000000001E-2</v>
      </c>
      <c r="M28" s="10">
        <f>[1]!s_fa_roe(M14,M13)%</f>
        <v>2.1097999999999999E-2</v>
      </c>
      <c r="N28" s="10">
        <f>[1]!s_fa_roe(N14,N13)%</f>
        <v>1.047E-3</v>
      </c>
      <c r="O28" s="10">
        <f>[1]!s_fa_roe(O14,O13)%</f>
        <v>0.12887999999999999</v>
      </c>
      <c r="P28" s="10">
        <f>[1]!s_fa_roe(P14,P13)%</f>
        <v>0.11028399999999999</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44</v>
      </c>
      <c r="J29" s="69">
        <f>[1]!b_stm07_cs(J14,39,J13,1)/100000000</f>
        <v>55.054389999999998</v>
      </c>
      <c r="K29" s="124"/>
      <c r="L29" s="69">
        <f>[1]!b_stm07_cs(L14,39,L13,1)/100000000</f>
        <v>34.766292707800005</v>
      </c>
      <c r="M29" s="69">
        <f>[1]!b_stm07_cs(M14,39,M13,1)/100000000</f>
        <v>87.791942390100004</v>
      </c>
      <c r="N29" s="69">
        <f>[1]!b_stm07_cs(N14,39,N13,1)/100000000</f>
        <v>-19.5503702904</v>
      </c>
      <c r="O29" s="69">
        <f>[1]!b_stm07_cs(O14,39,O13,1)/100000000</f>
        <v>2.6173287371999998</v>
      </c>
      <c r="P29" s="69">
        <f>[1]!b_stm07_cs(P14,39,P13,1)/100000000</f>
        <v>27.121917293200003</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45</v>
      </c>
      <c r="J96" s="71">
        <f>[1]!b_stm07_bs(J14,75,J13,1)</f>
        <v>0</v>
      </c>
      <c r="K96" s="71"/>
      <c r="L96" s="71">
        <f>[1]!b_stm07_bs(L14,75,L13,1)</f>
        <v>47838459927.360001</v>
      </c>
      <c r="M96" s="71">
        <f>[1]!b_stm07_bs(M14,75,M13,1)</f>
        <v>28078357713.009998</v>
      </c>
      <c r="N96" s="71">
        <f>[1]!b_stm07_bs(N14,75,N13,1)</f>
        <v>2224214996</v>
      </c>
      <c r="O96" s="71">
        <f>[1]!b_stm07_bs(O14,75,O13,1)</f>
        <v>10655649462.73</v>
      </c>
      <c r="P96" s="71">
        <f>[1]!b_stm07_bs(P14,75,P13,1)</f>
        <v>6130678336.6199999</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46</v>
      </c>
      <c r="J97" s="71">
        <f>[1]!b_stm07_bs(J14,82,J13,1)</f>
        <v>0</v>
      </c>
      <c r="K97" s="71"/>
      <c r="L97" s="71">
        <f>[1]!b_stm07_bs(L14,82,L13,1)</f>
        <v>342695585.75</v>
      </c>
      <c r="M97" s="71">
        <f>[1]!b_stm07_bs(M14,82,M13,1)</f>
        <v>575816750.39999998</v>
      </c>
      <c r="N97" s="71">
        <f>[1]!b_stm07_bs(N14,82,N13,1)</f>
        <v>204557626.34</v>
      </c>
      <c r="O97" s="71">
        <f>[1]!b_stm07_bs(O14,82,O13,1)</f>
        <v>130935503.31</v>
      </c>
      <c r="P97" s="71">
        <f>[1]!b_stm07_bs(P14,82,P13,1)</f>
        <v>31615608.760000002</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47</v>
      </c>
      <c r="J98" s="71">
        <f>[1]!b_stm07_bs(J14,88,J13,1)</f>
        <v>0</v>
      </c>
      <c r="K98" s="71"/>
      <c r="L98" s="71">
        <f>[1]!b_stm07_bs(L14,88,L13,1)</f>
        <v>6166380994</v>
      </c>
      <c r="M98" s="71">
        <f>[1]!b_stm07_bs(M14,88,M13,1)</f>
        <v>11336196543.809999</v>
      </c>
      <c r="N98" s="71">
        <f>[1]!b_stm07_bs(N14,88,N13,1)</f>
        <v>3147524915.73</v>
      </c>
      <c r="O98" s="71">
        <f>[1]!b_stm07_bs(O14,88,O13,1)</f>
        <v>0</v>
      </c>
      <c r="P98" s="71">
        <f>[1]!b_stm07_bs(P14,88,P13,1)</f>
        <v>182600269.78999999</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48</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49</v>
      </c>
      <c r="J100" s="71">
        <f>[1]!b_stm07_bs(J14,94,J13,1)</f>
        <v>0</v>
      </c>
      <c r="K100" s="71"/>
      <c r="L100" s="71">
        <f>[1]!b_stm07_bs(L14,94,L13,1)</f>
        <v>16079138898.16</v>
      </c>
      <c r="M100" s="71">
        <f>[1]!b_stm07_bs(M14,94,M13,1)</f>
        <v>14224037333.35</v>
      </c>
      <c r="N100" s="71">
        <f>[1]!b_stm07_bs(N14,94,N13,1)</f>
        <v>31679201576.349998</v>
      </c>
      <c r="O100" s="71">
        <f>[1]!b_stm07_bs(O14,94,O13,1)</f>
        <v>2600583440.3800001</v>
      </c>
      <c r="P100" s="71">
        <f>[1]!b_stm07_bs(P14,94,P13,1)</f>
        <v>616535863.39999998</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50</v>
      </c>
      <c r="J101" s="71">
        <f>[1]!b_stm07_bs(J14,95,J13,1)</f>
        <v>0</v>
      </c>
      <c r="K101" s="71"/>
      <c r="L101" s="71">
        <f>[1]!b_stm07_bs(L14,95,L13,1)</f>
        <v>5293016391.0900002</v>
      </c>
      <c r="M101" s="71">
        <f>[1]!b_stm07_bs(M14,95,M13,1)</f>
        <v>24802690351.490002</v>
      </c>
      <c r="N101" s="71">
        <f>[1]!b_stm07_bs(N14,95,N13,1)</f>
        <v>3922254617.9000001</v>
      </c>
      <c r="O101" s="71">
        <f>[1]!b_stm07_bs(O14,95,O13,1)</f>
        <v>1200000000</v>
      </c>
      <c r="P101" s="71">
        <f>[1]!b_stm07_bs(P14,95,P13,1)</f>
        <v>1997438679.99</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51</v>
      </c>
      <c r="J103" s="71">
        <f>[1]!b_stm07_bs(J14,141,J13,1)</f>
        <v>27107123000</v>
      </c>
      <c r="K103" s="71"/>
      <c r="L103" s="71">
        <f>[1]!b_stm07_bs(L14,141,L13,1)</f>
        <v>40912220391.809998</v>
      </c>
      <c r="M103" s="71">
        <f>[1]!b_stm07_bs(M14,141,M13,1)</f>
        <v>88466139612.080002</v>
      </c>
      <c r="N103" s="71">
        <f>[1]!b_stm07_bs(N14,141,N13,1)</f>
        <v>63372860256.489998</v>
      </c>
      <c r="O103" s="71">
        <f>[1]!b_stm07_bs(O14,141,O13,1)</f>
        <v>7767292942</v>
      </c>
      <c r="P103" s="71">
        <f>[1]!b_stm07_bs(P14,141,P13,1)</f>
        <v>26234700397.73</v>
      </c>
      <c r="Q103" s="71">
        <f>[1]!b_stm07_bs(Q14,141,Q13,1)</f>
        <v>0</v>
      </c>
      <c r="R103" s="71">
        <f>[1]!b_stm07_bs(R14,141,R13,1)</f>
        <v>0</v>
      </c>
    </row>
    <row r="106" spans="1:19" ht="14.25" customHeight="1" x14ac:dyDescent="0.25">
      <c r="A106" s="123" t="s">
        <v>52</v>
      </c>
      <c r="B106" s="118"/>
      <c r="C106" s="118"/>
      <c r="D106" s="124"/>
      <c r="E106" s="124"/>
      <c r="F106" s="124"/>
      <c r="G106" s="124"/>
      <c r="H106" s="124"/>
      <c r="I106" s="124"/>
      <c r="J106" s="124"/>
      <c r="L106" s="17"/>
      <c r="M106" s="17"/>
    </row>
    <row r="107" spans="1:19" x14ac:dyDescent="0.25">
      <c r="A107" s="125" t="s">
        <v>53</v>
      </c>
      <c r="B107" s="118"/>
      <c r="C107" s="118"/>
      <c r="D107" s="124"/>
      <c r="E107" s="124"/>
      <c r="F107" s="124"/>
      <c r="G107" s="126">
        <v>2017</v>
      </c>
      <c r="H107" s="124"/>
      <c r="I107" s="124"/>
      <c r="J107" s="124"/>
      <c r="K107" s="40" t="str">
        <f>A2</f>
        <v>d19041523.IB</v>
      </c>
      <c r="L107" s="33">
        <f>B2</f>
        <v>43100</v>
      </c>
      <c r="M107" s="17"/>
    </row>
    <row r="108" spans="1:19" ht="12.75" customHeight="1" x14ac:dyDescent="0.25">
      <c r="A108" s="127" t="s">
        <v>54</v>
      </c>
      <c r="B108" s="118"/>
      <c r="C108" s="127" t="s">
        <v>55</v>
      </c>
      <c r="D108" s="124"/>
      <c r="E108" s="127" t="s">
        <v>56</v>
      </c>
      <c r="F108" s="124"/>
      <c r="G108" s="127" t="s">
        <v>57</v>
      </c>
      <c r="H108" s="124"/>
      <c r="I108" s="127" t="s">
        <v>58</v>
      </c>
      <c r="J108" s="124"/>
      <c r="L108" s="17"/>
      <c r="M108" s="17"/>
    </row>
    <row r="109" spans="1:19" ht="16.5" customHeight="1" x14ac:dyDescent="0.25">
      <c r="A109" s="54" t="s">
        <v>59</v>
      </c>
      <c r="B109" s="12">
        <f>M109/100</f>
        <v>0</v>
      </c>
      <c r="C109" s="54" t="s">
        <v>35</v>
      </c>
      <c r="D109" s="72">
        <f>[1]!s_fa_current(A2,B2)</f>
        <v>0</v>
      </c>
      <c r="E109" s="54" t="s">
        <v>39</v>
      </c>
      <c r="F109" s="73">
        <f>[1]!s_fa_salescashintoor(A2,B2)/100</f>
        <v>0</v>
      </c>
      <c r="G109" s="54" t="s">
        <v>40</v>
      </c>
      <c r="H109" s="12">
        <f>S109/100</f>
        <v>0</v>
      </c>
      <c r="I109" s="54"/>
      <c r="J109" s="16"/>
      <c r="K109" s="25"/>
      <c r="L109" s="34" t="s">
        <v>59</v>
      </c>
      <c r="M109" s="74">
        <f>[1]!s_fa_debttoassets(A2,B2)</f>
        <v>0</v>
      </c>
      <c r="N109" s="54" t="s">
        <v>35</v>
      </c>
      <c r="O109" s="35"/>
      <c r="P109" s="54" t="s">
        <v>39</v>
      </c>
      <c r="Q109" s="35"/>
      <c r="R109" s="54" t="s">
        <v>40</v>
      </c>
      <c r="S109" s="75">
        <f>[1]!s_fa_grossprofitmargin(A2,B2)</f>
        <v>0</v>
      </c>
    </row>
    <row r="110" spans="1:19" ht="15.75" customHeight="1" x14ac:dyDescent="0.25">
      <c r="A110" s="54" t="s">
        <v>60</v>
      </c>
      <c r="B110" s="12">
        <f>M110/100</f>
        <v>0</v>
      </c>
      <c r="C110" s="54" t="s">
        <v>61</v>
      </c>
      <c r="D110" s="73">
        <f>[1]!s_fa_quick(A2,B2)</f>
        <v>0</v>
      </c>
      <c r="E110" s="54" t="s">
        <v>62</v>
      </c>
      <c r="F110" s="72">
        <f>[1]!s_fa_arturn(A2,B2)</f>
        <v>0</v>
      </c>
      <c r="G110" s="54" t="s">
        <v>63</v>
      </c>
      <c r="H110" s="12">
        <f>S110/100</f>
        <v>0</v>
      </c>
      <c r="I110" s="54"/>
      <c r="J110" s="16"/>
      <c r="L110" s="54" t="s">
        <v>60</v>
      </c>
      <c r="M110" s="74">
        <f>[1]!s_fa_catoassets(A2,B2)</f>
        <v>0</v>
      </c>
      <c r="N110" s="54" t="s">
        <v>61</v>
      </c>
      <c r="O110" s="35"/>
      <c r="P110" s="54" t="s">
        <v>62</v>
      </c>
      <c r="Q110" s="73"/>
      <c r="R110" s="54" t="s">
        <v>63</v>
      </c>
      <c r="S110" s="75">
        <f>[1]!s_fa_optogr(A2,B2)</f>
        <v>0</v>
      </c>
    </row>
    <row r="111" spans="1:19" ht="15" customHeight="1" x14ac:dyDescent="0.25">
      <c r="A111" s="54" t="s">
        <v>64</v>
      </c>
      <c r="B111" s="12">
        <f>M111/100</f>
        <v>0</v>
      </c>
      <c r="C111" s="54" t="s">
        <v>37</v>
      </c>
      <c r="D111" s="73">
        <f>[1]!s_fa_ebitdatodebt(A2,B2)</f>
        <v>0</v>
      </c>
      <c r="E111" s="54" t="s">
        <v>65</v>
      </c>
      <c r="F111" s="72">
        <f>[1]!s_fa_invturn(A2,B2)</f>
        <v>0</v>
      </c>
      <c r="G111" s="54" t="s">
        <v>43</v>
      </c>
      <c r="H111" s="12">
        <f>S111/100</f>
        <v>0</v>
      </c>
      <c r="I111" s="54"/>
      <c r="J111" s="16"/>
      <c r="L111" s="54" t="s">
        <v>64</v>
      </c>
      <c r="M111" s="74">
        <f>[1]!s_fa_currentdebttodebt(A2,B2)</f>
        <v>0</v>
      </c>
      <c r="N111" s="54" t="s">
        <v>37</v>
      </c>
      <c r="O111" s="35"/>
      <c r="P111" s="54" t="s">
        <v>65</v>
      </c>
      <c r="Q111" s="35"/>
      <c r="R111" s="54" t="s">
        <v>43</v>
      </c>
      <c r="S111" s="75">
        <f>[1]!s_fa_roe(A2,B2)</f>
        <v>0</v>
      </c>
    </row>
    <row r="112" spans="1:19" ht="14.25" customHeight="1" x14ac:dyDescent="0.25">
      <c r="A112" s="54" t="s">
        <v>36</v>
      </c>
      <c r="B112" s="76">
        <f>(M116+M117+M118+M119+M120+M121)/M123</f>
        <v>0</v>
      </c>
      <c r="C112" s="54" t="s">
        <v>66</v>
      </c>
      <c r="D112" s="73">
        <f>[1]!s_fa_ebittointerest(A2,B2)</f>
        <v>0</v>
      </c>
      <c r="E112" s="54" t="s">
        <v>67</v>
      </c>
      <c r="F112" s="72">
        <f>[1]!s_fa_caturn(A2,B2)</f>
        <v>0</v>
      </c>
      <c r="G112" s="54" t="s">
        <v>68</v>
      </c>
      <c r="H112" s="12">
        <f>S112/100</f>
        <v>0</v>
      </c>
      <c r="I112" s="54"/>
      <c r="J112" s="16"/>
      <c r="L112" s="54" t="s">
        <v>36</v>
      </c>
      <c r="M112" s="77"/>
      <c r="N112" s="54" t="s">
        <v>66</v>
      </c>
      <c r="O112" s="35"/>
      <c r="P112" s="54" t="s">
        <v>67</v>
      </c>
      <c r="Q112" s="35"/>
      <c r="R112" s="54" t="s">
        <v>68</v>
      </c>
      <c r="S112" s="75">
        <f>[1]!s_fa_roa2(A2,B2)</f>
        <v>0</v>
      </c>
    </row>
    <row r="113" spans="1:21" x14ac:dyDescent="0.25">
      <c r="A113" s="30"/>
      <c r="B113" s="31"/>
      <c r="C113" s="30"/>
      <c r="D113" s="32"/>
      <c r="E113" s="30" t="s">
        <v>69</v>
      </c>
      <c r="F113" s="78">
        <f>[1]!s_fa_dupont_faturnover(A2,B2)</f>
        <v>0</v>
      </c>
      <c r="G113" s="30"/>
      <c r="H113" s="31"/>
      <c r="I113" s="30"/>
      <c r="J113" s="31"/>
      <c r="L113" s="30"/>
      <c r="M113" s="36"/>
      <c r="N113" s="30"/>
      <c r="O113" s="32"/>
      <c r="P113" s="30" t="s">
        <v>69</v>
      </c>
      <c r="Q113" s="37"/>
      <c r="R113" s="30"/>
      <c r="S113" s="31"/>
    </row>
    <row r="114" spans="1:21" ht="13.5" customHeight="1" x14ac:dyDescent="0.25">
      <c r="A114" s="123" t="s">
        <v>70</v>
      </c>
      <c r="B114" s="118"/>
      <c r="C114" s="118"/>
      <c r="D114" s="124"/>
      <c r="E114" s="124"/>
      <c r="F114" s="124"/>
      <c r="G114" s="124"/>
      <c r="H114" s="124"/>
      <c r="I114" s="124"/>
      <c r="J114" s="124"/>
      <c r="L114" s="17"/>
      <c r="M114" s="17"/>
    </row>
    <row r="115" spans="1:21" ht="13.5" customHeight="1" x14ac:dyDescent="0.25">
      <c r="A115" s="125" t="s">
        <v>71</v>
      </c>
      <c r="B115" s="118"/>
      <c r="C115" s="118"/>
      <c r="D115" s="124"/>
      <c r="E115" s="124"/>
      <c r="F115" s="124"/>
      <c r="G115" s="128">
        <v>2017</v>
      </c>
      <c r="H115" s="124"/>
      <c r="I115" s="124"/>
      <c r="J115" s="124"/>
      <c r="L115" s="17"/>
      <c r="M115" s="17"/>
    </row>
    <row r="116" spans="1:21" x14ac:dyDescent="0.25">
      <c r="A116" s="129" t="s">
        <v>72</v>
      </c>
      <c r="B116" s="118"/>
      <c r="C116" s="129" t="s">
        <v>73</v>
      </c>
      <c r="D116" s="124"/>
      <c r="E116" s="130" t="s">
        <v>74</v>
      </c>
      <c r="F116" s="124"/>
      <c r="G116" s="124"/>
      <c r="H116" s="124"/>
      <c r="I116" s="124"/>
      <c r="J116" s="124"/>
      <c r="L116" s="17" t="s">
        <v>45</v>
      </c>
      <c r="M116" s="71">
        <f>[1]!b_stm07_bs(K107,75,L107,1)</f>
        <v>0</v>
      </c>
    </row>
    <row r="117" spans="1:21" ht="14.25" customHeight="1" x14ac:dyDescent="0.25">
      <c r="A117" s="54" t="s">
        <v>75</v>
      </c>
      <c r="B117" s="73">
        <f t="shared" ref="B117:B131" si="1">M127/100000000</f>
        <v>0</v>
      </c>
      <c r="C117" s="54" t="s">
        <v>76</v>
      </c>
      <c r="D117" s="76">
        <f t="shared" ref="D117:D125" si="2">O127/100000000</f>
        <v>603.00627999999995</v>
      </c>
      <c r="E117" s="131" t="s">
        <v>77</v>
      </c>
      <c r="F117" s="124"/>
      <c r="G117" s="124"/>
      <c r="H117" s="132">
        <f t="shared" ref="H117:H131" si="3">S127/100000000</f>
        <v>0</v>
      </c>
      <c r="I117" s="124"/>
      <c r="J117" s="124"/>
      <c r="L117" s="17" t="s">
        <v>46</v>
      </c>
      <c r="M117" s="71">
        <f>[1]!b_stm07_bs(K107,82,L107,1)</f>
        <v>0</v>
      </c>
    </row>
    <row r="118" spans="1:21" ht="14.25" customHeight="1" x14ac:dyDescent="0.25">
      <c r="A118" s="54" t="s">
        <v>78</v>
      </c>
      <c r="B118" s="73">
        <f t="shared" si="1"/>
        <v>0</v>
      </c>
      <c r="C118" s="54" t="s">
        <v>79</v>
      </c>
      <c r="D118" s="76">
        <f t="shared" si="2"/>
        <v>0</v>
      </c>
      <c r="E118" s="131" t="s">
        <v>80</v>
      </c>
      <c r="F118" s="124"/>
      <c r="G118" s="124"/>
      <c r="H118" s="132">
        <f t="shared" si="3"/>
        <v>0</v>
      </c>
      <c r="I118" s="124"/>
      <c r="J118" s="124"/>
      <c r="L118" s="17" t="s">
        <v>47</v>
      </c>
      <c r="M118" s="71">
        <f>[1]!b_stm07_bs(K107,88,L107,1)</f>
        <v>0</v>
      </c>
    </row>
    <row r="119" spans="1:21" ht="14.25" customHeight="1" x14ac:dyDescent="0.25">
      <c r="A119" s="54" t="s">
        <v>81</v>
      </c>
      <c r="B119" s="73">
        <f t="shared" si="1"/>
        <v>0</v>
      </c>
      <c r="C119" s="54" t="s">
        <v>82</v>
      </c>
      <c r="D119" s="76">
        <f t="shared" si="2"/>
        <v>0</v>
      </c>
      <c r="E119" s="131" t="s">
        <v>83</v>
      </c>
      <c r="F119" s="124"/>
      <c r="G119" s="124"/>
      <c r="H119" s="133">
        <f t="shared" si="3"/>
        <v>0</v>
      </c>
      <c r="I119" s="124"/>
      <c r="J119" s="124"/>
      <c r="L119" s="17" t="s">
        <v>48</v>
      </c>
      <c r="M119" s="71">
        <f>[1]!b_stm07_bs(K107,147,L107,1)</f>
        <v>0</v>
      </c>
    </row>
    <row r="120" spans="1:21" ht="14.25" customHeight="1" x14ac:dyDescent="0.25">
      <c r="A120" s="54" t="s">
        <v>84</v>
      </c>
      <c r="B120" s="73">
        <f t="shared" si="1"/>
        <v>0</v>
      </c>
      <c r="C120" s="54" t="s">
        <v>85</v>
      </c>
      <c r="D120" s="76">
        <f t="shared" si="2"/>
        <v>0</v>
      </c>
      <c r="E120" s="131" t="s">
        <v>86</v>
      </c>
      <c r="F120" s="124"/>
      <c r="G120" s="124"/>
      <c r="H120" s="132">
        <f t="shared" si="3"/>
        <v>0</v>
      </c>
      <c r="I120" s="124"/>
      <c r="J120" s="124"/>
      <c r="L120" s="17" t="s">
        <v>49</v>
      </c>
      <c r="M120" s="71">
        <f>[1]!b_stm07_bs(K107,94,L107,1)</f>
        <v>0</v>
      </c>
    </row>
    <row r="121" spans="1:21" ht="14.25" customHeight="1" x14ac:dyDescent="0.25">
      <c r="A121" s="54" t="s">
        <v>87</v>
      </c>
      <c r="B121" s="73">
        <f t="shared" si="1"/>
        <v>0</v>
      </c>
      <c r="C121" s="54" t="s">
        <v>88</v>
      </c>
      <c r="D121" s="76">
        <f t="shared" si="2"/>
        <v>0</v>
      </c>
      <c r="E121" s="131" t="s">
        <v>89</v>
      </c>
      <c r="F121" s="124"/>
      <c r="G121" s="124"/>
      <c r="H121" s="132">
        <f t="shared" si="3"/>
        <v>0</v>
      </c>
      <c r="I121" s="124"/>
      <c r="J121" s="124"/>
      <c r="L121" s="17" t="s">
        <v>50</v>
      </c>
      <c r="M121" s="71">
        <f>[1]!b_stm07_bs(K107,95,L107,1)</f>
        <v>0</v>
      </c>
    </row>
    <row r="122" spans="1:21" ht="14.25" customHeight="1" x14ac:dyDescent="0.25">
      <c r="A122" s="54" t="s">
        <v>90</v>
      </c>
      <c r="B122" s="73">
        <f t="shared" si="1"/>
        <v>0</v>
      </c>
      <c r="C122" s="54" t="s">
        <v>91</v>
      </c>
      <c r="D122" s="76">
        <f t="shared" si="2"/>
        <v>0</v>
      </c>
      <c r="E122" s="131" t="s">
        <v>92</v>
      </c>
      <c r="F122" s="124"/>
      <c r="G122" s="124"/>
      <c r="H122" s="133">
        <f t="shared" si="3"/>
        <v>0</v>
      </c>
      <c r="I122" s="124"/>
      <c r="J122" s="124"/>
      <c r="L122" s="17"/>
      <c r="M122" s="17"/>
    </row>
    <row r="123" spans="1:21" ht="14.25" customHeight="1" x14ac:dyDescent="0.25">
      <c r="A123" s="54" t="s">
        <v>93</v>
      </c>
      <c r="B123" s="79">
        <f t="shared" si="1"/>
        <v>581.38730999999996</v>
      </c>
      <c r="C123" s="54" t="s">
        <v>94</v>
      </c>
      <c r="D123" s="76">
        <f t="shared" si="2"/>
        <v>0</v>
      </c>
      <c r="E123" s="131" t="s">
        <v>95</v>
      </c>
      <c r="F123" s="124"/>
      <c r="G123" s="124"/>
      <c r="H123" s="133">
        <f t="shared" si="3"/>
        <v>55.054389999999998</v>
      </c>
      <c r="I123" s="124"/>
      <c r="J123" s="124"/>
      <c r="L123" s="17" t="s">
        <v>51</v>
      </c>
      <c r="M123" s="71">
        <f>[1]!b_stm07_bs(K107,141,L107,1)</f>
        <v>27107123000</v>
      </c>
    </row>
    <row r="124" spans="1:21" ht="14.25" customHeight="1" x14ac:dyDescent="0.25">
      <c r="A124" s="54" t="s">
        <v>96</v>
      </c>
      <c r="B124" s="73">
        <f t="shared" si="1"/>
        <v>0</v>
      </c>
      <c r="C124" s="54" t="s">
        <v>97</v>
      </c>
      <c r="D124" s="76">
        <f t="shared" si="2"/>
        <v>26.249610000000001</v>
      </c>
      <c r="E124" s="131" t="s">
        <v>98</v>
      </c>
      <c r="F124" s="124"/>
      <c r="G124" s="124"/>
      <c r="H124" s="133">
        <f t="shared" si="3"/>
        <v>-114.50193</v>
      </c>
      <c r="I124" s="124"/>
      <c r="J124" s="124"/>
      <c r="L124" s="17"/>
      <c r="M124" s="17"/>
    </row>
    <row r="125" spans="1:21" ht="27" customHeight="1" x14ac:dyDescent="0.25">
      <c r="A125" s="54" t="s">
        <v>99</v>
      </c>
      <c r="B125" s="73">
        <f t="shared" si="1"/>
        <v>0</v>
      </c>
      <c r="C125" s="54" t="s">
        <v>41</v>
      </c>
      <c r="D125" s="76">
        <f t="shared" si="2"/>
        <v>20.30678</v>
      </c>
      <c r="E125" s="131" t="s">
        <v>100</v>
      </c>
      <c r="F125" s="124"/>
      <c r="G125" s="124"/>
      <c r="H125" s="132">
        <f t="shared" si="3"/>
        <v>0</v>
      </c>
      <c r="I125" s="124"/>
      <c r="J125" s="124"/>
      <c r="L125" s="17"/>
      <c r="M125" s="17"/>
    </row>
    <row r="126" spans="1:21" ht="16.5" customHeight="1" x14ac:dyDescent="0.25">
      <c r="A126" s="54" t="s">
        <v>101</v>
      </c>
      <c r="B126" s="73">
        <f t="shared" si="1"/>
        <v>0</v>
      </c>
      <c r="C126" s="54"/>
      <c r="D126" s="80"/>
      <c r="E126" s="131" t="s">
        <v>102</v>
      </c>
      <c r="F126" s="124"/>
      <c r="G126" s="124"/>
      <c r="H126" s="132">
        <f t="shared" si="3"/>
        <v>0</v>
      </c>
      <c r="I126" s="124"/>
      <c r="J126" s="124"/>
      <c r="L126" s="134" t="s">
        <v>72</v>
      </c>
      <c r="M126" s="124"/>
      <c r="N126" s="134" t="s">
        <v>73</v>
      </c>
      <c r="O126" s="124"/>
      <c r="P126" s="125" t="s">
        <v>74</v>
      </c>
      <c r="Q126" s="124"/>
      <c r="R126" s="124"/>
      <c r="S126" s="135"/>
      <c r="T126" s="135"/>
      <c r="U126" s="135"/>
    </row>
    <row r="127" spans="1:21" ht="14.25" customHeight="1" x14ac:dyDescent="0.25">
      <c r="A127" s="54" t="s">
        <v>103</v>
      </c>
      <c r="B127" s="73">
        <f t="shared" si="1"/>
        <v>0</v>
      </c>
      <c r="C127" s="54"/>
      <c r="D127" s="80"/>
      <c r="E127" s="131" t="s">
        <v>104</v>
      </c>
      <c r="F127" s="124"/>
      <c r="G127" s="124"/>
      <c r="H127" s="132">
        <f t="shared" si="3"/>
        <v>0</v>
      </c>
      <c r="I127" s="124"/>
      <c r="J127" s="124"/>
      <c r="L127" s="54" t="s">
        <v>75</v>
      </c>
      <c r="M127" s="75">
        <f>[1]!b_stm07_bs(K107,9,L107,1)</f>
        <v>0</v>
      </c>
      <c r="N127" s="54" t="s">
        <v>76</v>
      </c>
      <c r="O127" s="75">
        <f>[1]!b_stm07_is(K107,83,L107,1)</f>
        <v>60300628000</v>
      </c>
      <c r="P127" s="131" t="s">
        <v>77</v>
      </c>
      <c r="Q127" s="124"/>
      <c r="R127" s="124"/>
      <c r="S127" s="136">
        <f>[1]!b_stm07_cs(K107,9,L107,1)</f>
        <v>0</v>
      </c>
      <c r="T127" s="135"/>
      <c r="U127" s="135"/>
    </row>
    <row r="128" spans="1:21" ht="14.25" customHeight="1" x14ac:dyDescent="0.25">
      <c r="A128" s="54" t="s">
        <v>105</v>
      </c>
      <c r="B128" s="73">
        <f t="shared" si="1"/>
        <v>0</v>
      </c>
      <c r="C128" s="54"/>
      <c r="D128" s="80"/>
      <c r="E128" s="131" t="s">
        <v>106</v>
      </c>
      <c r="F128" s="124"/>
      <c r="G128" s="124"/>
      <c r="H128" s="133">
        <f t="shared" si="3"/>
        <v>0</v>
      </c>
      <c r="I128" s="124"/>
      <c r="J128" s="124"/>
      <c r="L128" s="54" t="s">
        <v>78</v>
      </c>
      <c r="M128" s="75">
        <f>[1]!b_stm07_bs(K107,12,L107,1)</f>
        <v>0</v>
      </c>
      <c r="N128" s="54" t="s">
        <v>79</v>
      </c>
      <c r="O128" s="75">
        <f>[1]!b_stm07_is(K107,84,L107,1)</f>
        <v>0</v>
      </c>
      <c r="P128" s="131" t="s">
        <v>80</v>
      </c>
      <c r="Q128" s="124"/>
      <c r="R128" s="124"/>
      <c r="S128" s="136">
        <f>[1]!b_stm07_cs(K107,11,L107,1)</f>
        <v>0</v>
      </c>
      <c r="T128" s="135"/>
      <c r="U128" s="135"/>
    </row>
    <row r="129" spans="1:21" ht="14.25" customHeight="1" x14ac:dyDescent="0.25">
      <c r="A129" s="54" t="s">
        <v>107</v>
      </c>
      <c r="B129" s="79">
        <f t="shared" si="1"/>
        <v>310.31608</v>
      </c>
      <c r="C129" s="14"/>
      <c r="D129" s="13"/>
      <c r="E129" s="131" t="s">
        <v>108</v>
      </c>
      <c r="F129" s="124"/>
      <c r="G129" s="124"/>
      <c r="H129" s="132">
        <f t="shared" si="3"/>
        <v>0</v>
      </c>
      <c r="I129" s="124"/>
      <c r="J129" s="124"/>
      <c r="L129" s="54" t="s">
        <v>81</v>
      </c>
      <c r="M129" s="75">
        <f>[1]!b_stm07_bs(K107,13,L107,1)</f>
        <v>0</v>
      </c>
      <c r="N129" s="54" t="s">
        <v>82</v>
      </c>
      <c r="O129" s="75">
        <f>[1]!b_stm07_is(K107,10,L107,1)</f>
        <v>0</v>
      </c>
      <c r="P129" s="131" t="s">
        <v>83</v>
      </c>
      <c r="Q129" s="124"/>
      <c r="R129" s="124"/>
      <c r="S129" s="137">
        <f>[1]!b_stm07_cs(K107,25,L107,1)</f>
        <v>0</v>
      </c>
      <c r="T129" s="135"/>
      <c r="U129" s="135"/>
    </row>
    <row r="130" spans="1:21" ht="14.25" customHeight="1" x14ac:dyDescent="0.25">
      <c r="A130" s="54" t="s">
        <v>109</v>
      </c>
      <c r="B130" s="79">
        <f t="shared" si="1"/>
        <v>271.07123000000001</v>
      </c>
      <c r="C130" s="14"/>
      <c r="D130" s="13"/>
      <c r="E130" s="131" t="s">
        <v>110</v>
      </c>
      <c r="F130" s="124"/>
      <c r="G130" s="124"/>
      <c r="H130" s="132">
        <f t="shared" si="3"/>
        <v>0</v>
      </c>
      <c r="I130" s="124"/>
      <c r="J130" s="124"/>
      <c r="L130" s="54" t="s">
        <v>84</v>
      </c>
      <c r="M130" s="75">
        <f>[1]!b_stm07_bs(K107,31,L107,1)</f>
        <v>0</v>
      </c>
      <c r="N130" s="54" t="s">
        <v>85</v>
      </c>
      <c r="O130" s="75">
        <f>[1]!b_stm07_is(K107,12,L107,1)</f>
        <v>0</v>
      </c>
      <c r="P130" s="131" t="s">
        <v>86</v>
      </c>
      <c r="Q130" s="124"/>
      <c r="R130" s="124"/>
      <c r="S130" s="136">
        <f>[1]!b_stm07_cs(K107,26,L107,1)</f>
        <v>0</v>
      </c>
      <c r="T130" s="135"/>
      <c r="U130" s="135"/>
    </row>
    <row r="131" spans="1:21" ht="14.25" customHeight="1" x14ac:dyDescent="0.25">
      <c r="A131" s="15" t="s">
        <v>111</v>
      </c>
      <c r="B131" s="79">
        <f t="shared" si="1"/>
        <v>581.38730999999996</v>
      </c>
      <c r="C131" s="14"/>
      <c r="D131" s="13"/>
      <c r="E131" s="131" t="s">
        <v>112</v>
      </c>
      <c r="F131" s="124"/>
      <c r="G131" s="124"/>
      <c r="H131" s="133">
        <f t="shared" si="3"/>
        <v>57.482680000000002</v>
      </c>
      <c r="I131" s="124"/>
      <c r="J131" s="124"/>
      <c r="L131" s="54" t="s">
        <v>87</v>
      </c>
      <c r="M131" s="75">
        <f>[1]!b_stm07_bs(K107,33,L107,1)</f>
        <v>0</v>
      </c>
      <c r="N131" s="54" t="s">
        <v>88</v>
      </c>
      <c r="O131" s="75">
        <f>[1]!b_stm07_is(K107,13,L107,1)</f>
        <v>0</v>
      </c>
      <c r="P131" s="131" t="s">
        <v>89</v>
      </c>
      <c r="Q131" s="124"/>
      <c r="R131" s="124"/>
      <c r="S131" s="136">
        <f>[1]!b_stm07_cs(K107,29,L107,1)</f>
        <v>0</v>
      </c>
      <c r="T131" s="135"/>
      <c r="U131" s="135"/>
    </row>
    <row r="132" spans="1:21" x14ac:dyDescent="0.25">
      <c r="L132" s="54" t="s">
        <v>90</v>
      </c>
      <c r="M132" s="75">
        <f>[1]!b_stm07_bs(K107,37,L107,1)</f>
        <v>0</v>
      </c>
      <c r="N132" s="54" t="s">
        <v>91</v>
      </c>
      <c r="O132" s="75">
        <f>[1]!b_stm07_is(K107,14,L107,1)</f>
        <v>0</v>
      </c>
      <c r="P132" s="131" t="s">
        <v>92</v>
      </c>
      <c r="Q132" s="124"/>
      <c r="R132" s="124"/>
      <c r="S132" s="137">
        <f>[1]!b_stm07_cs(K107,37,L107,1)</f>
        <v>0</v>
      </c>
      <c r="T132" s="135"/>
      <c r="U132" s="135"/>
    </row>
    <row r="133" spans="1:21" x14ac:dyDescent="0.25">
      <c r="L133" s="54" t="s">
        <v>93</v>
      </c>
      <c r="M133" s="81">
        <f>[1]!b_stm07_bs(K107,74,L107,1)</f>
        <v>58138731000</v>
      </c>
      <c r="N133" s="54" t="s">
        <v>94</v>
      </c>
      <c r="O133" s="75">
        <f>[1]!b_stm07_is(K107,48,L107,1)</f>
        <v>0</v>
      </c>
      <c r="P133" s="131" t="s">
        <v>95</v>
      </c>
      <c r="Q133" s="124"/>
      <c r="R133" s="124"/>
      <c r="S133" s="137">
        <f>[1]!b_stm07_cs(K107,39,L107,1)</f>
        <v>5505439000</v>
      </c>
      <c r="T133" s="135"/>
      <c r="U133" s="135"/>
    </row>
    <row r="134" spans="1:21" x14ac:dyDescent="0.25">
      <c r="L134" s="54" t="s">
        <v>96</v>
      </c>
      <c r="M134" s="75">
        <f>[1]!b_stm07_bs(K107,75,L107,1)</f>
        <v>0</v>
      </c>
      <c r="N134" s="54" t="s">
        <v>97</v>
      </c>
      <c r="O134" s="75">
        <f>[1]!b_stm07_is(K107,55,L107,1)</f>
        <v>2624961000</v>
      </c>
      <c r="P134" s="131" t="s">
        <v>98</v>
      </c>
      <c r="Q134" s="124"/>
      <c r="R134" s="124"/>
      <c r="S134" s="137">
        <f>[1]!b_stm07_cs(K107,59,L107,1)</f>
        <v>-11450193000</v>
      </c>
      <c r="T134" s="135"/>
      <c r="U134" s="135"/>
    </row>
    <row r="135" spans="1:21" ht="32.4" customHeight="1" x14ac:dyDescent="0.25">
      <c r="L135" s="54" t="s">
        <v>99</v>
      </c>
      <c r="M135" s="75">
        <f>[1]!b_stm07_bs(K107,88,L107,1)</f>
        <v>0</v>
      </c>
      <c r="N135" s="54" t="s">
        <v>41</v>
      </c>
      <c r="O135" s="75">
        <f>[1]!b_stm07_is(K107,60,L107,1)</f>
        <v>2030678000</v>
      </c>
      <c r="P135" s="131" t="s">
        <v>100</v>
      </c>
      <c r="Q135" s="124"/>
      <c r="R135" s="124"/>
      <c r="S135" s="136">
        <f>[1]!b_stm07_cs(K107,60,L107,1)</f>
        <v>0</v>
      </c>
      <c r="T135" s="135"/>
      <c r="U135" s="135"/>
    </row>
    <row r="136" spans="1:21" ht="21.6" customHeight="1" x14ac:dyDescent="0.25">
      <c r="L136" s="54" t="s">
        <v>101</v>
      </c>
      <c r="M136" s="75">
        <f>[1]!b_stm07_bs(K107,147,L107,1)</f>
        <v>0</v>
      </c>
      <c r="N136" s="54"/>
      <c r="O136" s="80"/>
      <c r="P136" s="131" t="s">
        <v>102</v>
      </c>
      <c r="Q136" s="124"/>
      <c r="R136" s="124"/>
      <c r="S136" s="136">
        <f>[1]!b_stm07_cs(K107,61,L107,1)</f>
        <v>0</v>
      </c>
      <c r="T136" s="135"/>
      <c r="U136" s="135"/>
    </row>
    <row r="137" spans="1:21" x14ac:dyDescent="0.25">
      <c r="L137" s="54" t="s">
        <v>103</v>
      </c>
      <c r="M137" s="75">
        <f>[1]!b_stm07_bs(K107,94,L107,1)</f>
        <v>0</v>
      </c>
      <c r="N137" s="54"/>
      <c r="O137" s="80"/>
      <c r="P137" s="131" t="s">
        <v>104</v>
      </c>
      <c r="Q137" s="124"/>
      <c r="R137" s="124"/>
      <c r="S137" s="136">
        <f>[1]!b_stm07_cs(K107,63,L107,1)</f>
        <v>0</v>
      </c>
      <c r="T137" s="135"/>
      <c r="U137" s="135"/>
    </row>
    <row r="138" spans="1:21" x14ac:dyDescent="0.25">
      <c r="L138" s="54" t="s">
        <v>105</v>
      </c>
      <c r="M138" s="75">
        <f>[1]!b_stm07_bs(K107,95,L107,1)</f>
        <v>0</v>
      </c>
      <c r="N138" s="54"/>
      <c r="O138" s="80"/>
      <c r="P138" s="131" t="s">
        <v>106</v>
      </c>
      <c r="Q138" s="124"/>
      <c r="R138" s="124"/>
      <c r="S138" s="137">
        <f>[1]!b_stm07_cs(K107,68,L107,1)</f>
        <v>0</v>
      </c>
      <c r="T138" s="135"/>
      <c r="U138" s="135"/>
    </row>
    <row r="139" spans="1:21" x14ac:dyDescent="0.25">
      <c r="L139" s="54" t="s">
        <v>107</v>
      </c>
      <c r="M139" s="81">
        <f>[1]!b_stm07_bs(K107,128,L107,1)</f>
        <v>31031608000</v>
      </c>
      <c r="N139" s="14"/>
      <c r="O139" s="13"/>
      <c r="P139" s="131" t="s">
        <v>108</v>
      </c>
      <c r="Q139" s="124"/>
      <c r="R139" s="124"/>
      <c r="S139" s="136">
        <f>[1]!b_stm07_cs(K107,69,L107,1)</f>
        <v>0</v>
      </c>
      <c r="T139" s="135"/>
      <c r="U139" s="135"/>
    </row>
    <row r="140" spans="1:21" ht="21.6" customHeight="1" x14ac:dyDescent="0.25">
      <c r="L140" s="54" t="s">
        <v>109</v>
      </c>
      <c r="M140" s="81">
        <f>[1]!b_stm07_bs(K107,141,L107,1)</f>
        <v>27107123000</v>
      </c>
      <c r="N140" s="14"/>
      <c r="O140" s="13"/>
      <c r="P140" s="131" t="s">
        <v>110</v>
      </c>
      <c r="Q140" s="124"/>
      <c r="R140" s="124"/>
      <c r="S140" s="136">
        <f>[1]!b_stm07_cs(K107,75,L107,1)</f>
        <v>0</v>
      </c>
      <c r="T140" s="135"/>
      <c r="U140" s="135"/>
    </row>
    <row r="141" spans="1:21" ht="21.6" customHeight="1" x14ac:dyDescent="0.25">
      <c r="L141" s="15" t="s">
        <v>111</v>
      </c>
      <c r="M141" s="81">
        <f>[1]!b_stm07_bs(K107,145,L107,1)</f>
        <v>58138731000</v>
      </c>
      <c r="N141" s="14"/>
      <c r="O141" s="13"/>
      <c r="P141" s="131" t="s">
        <v>112</v>
      </c>
      <c r="Q141" s="124"/>
      <c r="R141" s="124"/>
      <c r="S141" s="137">
        <f>[1]!b_stm07_cs(K107,77,L107,1)</f>
        <v>5748268000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196</v>
      </c>
      <c r="C2" s="120"/>
      <c r="D2" s="57" t="s">
        <v>3</v>
      </c>
      <c r="E2" s="119" t="s">
        <v>197</v>
      </c>
      <c r="F2" s="120"/>
      <c r="G2" s="120"/>
    </row>
    <row r="3" spans="1:12" ht="14.25" customHeight="1" x14ac:dyDescent="0.25">
      <c r="A3" s="57" t="s">
        <v>4</v>
      </c>
      <c r="B3" s="119" t="s">
        <v>198</v>
      </c>
      <c r="C3" s="120"/>
      <c r="D3" s="57" t="s">
        <v>5</v>
      </c>
      <c r="E3" s="119" t="s">
        <v>199</v>
      </c>
      <c r="F3" s="120"/>
      <c r="G3" s="120"/>
    </row>
    <row r="4" spans="1:12" ht="113.25" customHeight="1" x14ac:dyDescent="0.25">
      <c r="A4" s="57" t="s">
        <v>6</v>
      </c>
      <c r="B4" s="121" t="s">
        <v>200</v>
      </c>
      <c r="C4" s="120"/>
      <c r="D4" s="120"/>
      <c r="E4" s="120"/>
      <c r="F4" s="120"/>
      <c r="G4" s="120"/>
    </row>
    <row r="5" spans="1:12" ht="14.4" x14ac:dyDescent="0.25">
      <c r="A5" s="82" t="s">
        <v>113</v>
      </c>
      <c r="B5" s="140" t="s">
        <v>201</v>
      </c>
      <c r="C5" s="120"/>
      <c r="D5" s="120"/>
      <c r="E5" s="120"/>
      <c r="F5" s="141" t="s">
        <v>201</v>
      </c>
      <c r="G5" s="120"/>
    </row>
    <row r="6" spans="1:12" ht="11.25" customHeight="1" x14ac:dyDescent="0.25">
      <c r="A6" s="82" t="s">
        <v>114</v>
      </c>
      <c r="B6" s="140" t="s">
        <v>201</v>
      </c>
      <c r="C6" s="120"/>
      <c r="D6" s="120"/>
      <c r="E6" s="120"/>
      <c r="F6" s="141" t="s">
        <v>201</v>
      </c>
      <c r="G6" s="120"/>
    </row>
    <row r="7" spans="1:12" ht="11.25" customHeight="1" x14ac:dyDescent="0.25">
      <c r="A7" s="82" t="s">
        <v>115</v>
      </c>
      <c r="B7" s="140" t="s">
        <v>201</v>
      </c>
      <c r="C7" s="120"/>
      <c r="D7" s="120"/>
      <c r="E7" s="120"/>
      <c r="F7" s="141" t="s">
        <v>201</v>
      </c>
      <c r="G7" s="120"/>
    </row>
    <row r="8" spans="1:12" ht="11.25" customHeight="1" x14ac:dyDescent="0.25">
      <c r="A8" s="82" t="s">
        <v>116</v>
      </c>
      <c r="B8" s="140" t="s">
        <v>201</v>
      </c>
      <c r="C8" s="120"/>
      <c r="D8" s="120"/>
      <c r="E8" s="120"/>
      <c r="F8" s="141" t="s">
        <v>201</v>
      </c>
      <c r="G8" s="120"/>
    </row>
    <row r="9" spans="1:12" ht="11.25" customHeight="1" x14ac:dyDescent="0.25">
      <c r="A9" s="82" t="s">
        <v>117</v>
      </c>
      <c r="B9" s="140" t="s">
        <v>201</v>
      </c>
      <c r="C9" s="120"/>
      <c r="D9" s="120"/>
      <c r="E9" s="120"/>
      <c r="F9" s="141" t="s">
        <v>201</v>
      </c>
      <c r="G9" s="120"/>
    </row>
    <row r="11" spans="1:12" ht="14.4" customHeight="1" x14ac:dyDescent="0.25">
      <c r="A11" s="142" t="s">
        <v>118</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D13" s="64"/>
      <c r="E13" s="64">
        <v>0</v>
      </c>
      <c r="F13" s="65">
        <v>0</v>
      </c>
      <c r="G13" s="64">
        <v>0</v>
      </c>
    </row>
    <row r="14" spans="1:12" ht="14.4" customHeight="1" x14ac:dyDescent="0.25">
      <c r="D14" s="64"/>
      <c r="E14" s="83"/>
      <c r="G14" s="64"/>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A18" s="143" t="s">
        <v>119</v>
      </c>
      <c r="B18" s="143"/>
      <c r="C18" s="143"/>
      <c r="D18" s="143"/>
      <c r="E18" s="83"/>
      <c r="G18" s="64"/>
    </row>
    <row r="19" spans="1:7" ht="14.4" customHeight="1" x14ac:dyDescent="0.25">
      <c r="A19" s="84" t="s">
        <v>120</v>
      </c>
      <c r="B19" s="84" t="s">
        <v>121</v>
      </c>
      <c r="C19" s="84" t="s">
        <v>122</v>
      </c>
      <c r="D19" s="85" t="s">
        <v>123</v>
      </c>
      <c r="E19" s="83"/>
      <c r="G19" s="64"/>
    </row>
    <row r="20" spans="1:7" ht="14.4" customHeight="1" x14ac:dyDescent="0.25">
      <c r="A20" t="s">
        <v>124</v>
      </c>
      <c r="B20" t="s">
        <v>25</v>
      </c>
      <c r="C20" t="s">
        <v>125</v>
      </c>
      <c r="D20" s="64" t="s">
        <v>126</v>
      </c>
      <c r="E20" s="83"/>
      <c r="G20" s="64"/>
    </row>
    <row r="21" spans="1:7" ht="14.4" customHeight="1" x14ac:dyDescent="0.25">
      <c r="D21" s="64"/>
      <c r="E21" s="83"/>
      <c r="G21" s="64"/>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127</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8:D1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52</v>
      </c>
      <c r="B1" s="120"/>
      <c r="C1" s="120"/>
      <c r="D1" s="120"/>
      <c r="E1" s="120"/>
      <c r="F1" s="120"/>
      <c r="G1" s="120"/>
      <c r="H1" s="120"/>
      <c r="I1" s="120"/>
      <c r="J1" s="120"/>
    </row>
    <row r="2" spans="1:10" x14ac:dyDescent="0.25">
      <c r="A2" s="142" t="s">
        <v>53</v>
      </c>
      <c r="B2" s="120"/>
      <c r="C2" s="120"/>
      <c r="D2" s="120"/>
      <c r="E2" s="120"/>
      <c r="F2" s="120"/>
      <c r="G2" s="145">
        <v>2017</v>
      </c>
      <c r="H2" s="120"/>
      <c r="I2" s="120"/>
      <c r="J2" s="120"/>
    </row>
    <row r="3" spans="1:10" ht="12.75" customHeight="1" x14ac:dyDescent="0.25">
      <c r="A3" s="142" t="s">
        <v>54</v>
      </c>
      <c r="B3" s="120"/>
      <c r="C3" s="142" t="s">
        <v>55</v>
      </c>
      <c r="D3" s="120"/>
      <c r="E3" s="142" t="s">
        <v>56</v>
      </c>
      <c r="F3" s="120"/>
      <c r="G3" s="142" t="s">
        <v>57</v>
      </c>
      <c r="H3" s="120"/>
      <c r="I3" s="142" t="s">
        <v>58</v>
      </c>
      <c r="J3" s="120"/>
    </row>
    <row r="4" spans="1:10" ht="21.6" customHeight="1" x14ac:dyDescent="0.25">
      <c r="A4" s="57" t="s">
        <v>59</v>
      </c>
      <c r="B4" s="86">
        <v>0</v>
      </c>
      <c r="C4" s="57" t="s">
        <v>35</v>
      </c>
      <c r="D4" s="87">
        <v>0</v>
      </c>
      <c r="E4" s="57" t="s">
        <v>39</v>
      </c>
      <c r="F4" s="86">
        <v>0</v>
      </c>
      <c r="G4" s="57" t="s">
        <v>40</v>
      </c>
      <c r="H4" s="86">
        <v>0</v>
      </c>
      <c r="I4" s="57"/>
      <c r="J4" s="88"/>
    </row>
    <row r="5" spans="1:10" ht="15.75" customHeight="1" x14ac:dyDescent="0.25">
      <c r="A5" s="57" t="s">
        <v>60</v>
      </c>
      <c r="B5" s="86">
        <v>0</v>
      </c>
      <c r="C5" s="57" t="s">
        <v>61</v>
      </c>
      <c r="D5" s="87">
        <v>0</v>
      </c>
      <c r="E5" s="57" t="s">
        <v>62</v>
      </c>
      <c r="F5" s="87">
        <v>0</v>
      </c>
      <c r="G5" s="57" t="s">
        <v>63</v>
      </c>
      <c r="H5" s="86">
        <v>0</v>
      </c>
      <c r="I5" s="57"/>
      <c r="J5" s="88"/>
    </row>
    <row r="6" spans="1:10" ht="15" customHeight="1" x14ac:dyDescent="0.25">
      <c r="A6" s="57" t="s">
        <v>64</v>
      </c>
      <c r="B6" s="86">
        <v>0</v>
      </c>
      <c r="C6" s="57" t="s">
        <v>37</v>
      </c>
      <c r="D6" s="89">
        <v>0</v>
      </c>
      <c r="E6" s="57" t="s">
        <v>65</v>
      </c>
      <c r="F6" s="87">
        <v>0</v>
      </c>
      <c r="G6" s="57" t="s">
        <v>43</v>
      </c>
      <c r="H6" s="86">
        <v>0</v>
      </c>
      <c r="I6" s="57"/>
      <c r="J6" s="88"/>
    </row>
    <row r="7" spans="1:10" ht="14.25" customHeight="1" x14ac:dyDescent="0.25">
      <c r="A7" s="57" t="s">
        <v>36</v>
      </c>
      <c r="B7" s="89">
        <v>0</v>
      </c>
      <c r="C7" s="57" t="s">
        <v>66</v>
      </c>
      <c r="D7" s="89">
        <v>0</v>
      </c>
      <c r="E7" s="57" t="s">
        <v>67</v>
      </c>
      <c r="F7" s="87">
        <v>0</v>
      </c>
      <c r="G7" s="57" t="s">
        <v>68</v>
      </c>
      <c r="H7" s="86">
        <v>0</v>
      </c>
      <c r="I7" s="57"/>
      <c r="J7" s="88"/>
    </row>
    <row r="8" spans="1:10" x14ac:dyDescent="0.25">
      <c r="A8" s="57"/>
      <c r="B8" s="90"/>
      <c r="C8" s="57"/>
      <c r="D8" s="91"/>
      <c r="E8" s="57" t="s">
        <v>69</v>
      </c>
      <c r="F8" s="87">
        <v>0</v>
      </c>
      <c r="G8" s="57"/>
      <c r="H8" s="90"/>
      <c r="I8" s="57"/>
      <c r="J8" s="90"/>
    </row>
    <row r="9" spans="1:10" ht="13.5" customHeight="1" x14ac:dyDescent="0.25">
      <c r="A9" s="144" t="s">
        <v>70</v>
      </c>
      <c r="B9" s="120"/>
      <c r="C9" s="120"/>
      <c r="D9" s="120"/>
      <c r="E9" s="120"/>
      <c r="F9" s="120"/>
      <c r="G9" s="120"/>
      <c r="H9" s="120"/>
      <c r="I9" s="120"/>
      <c r="J9" s="120"/>
    </row>
    <row r="10" spans="1:10" ht="13.5" customHeight="1" x14ac:dyDescent="0.25">
      <c r="A10" s="142" t="s">
        <v>71</v>
      </c>
      <c r="B10" s="120"/>
      <c r="C10" s="120"/>
      <c r="D10" s="120"/>
      <c r="E10" s="120"/>
      <c r="F10" s="120"/>
      <c r="G10" s="146">
        <v>2017</v>
      </c>
      <c r="H10" s="120"/>
      <c r="I10" s="120"/>
      <c r="J10" s="120"/>
    </row>
    <row r="11" spans="1:10" x14ac:dyDescent="0.25">
      <c r="A11" s="142" t="s">
        <v>72</v>
      </c>
      <c r="B11" s="120"/>
      <c r="C11" s="142" t="s">
        <v>73</v>
      </c>
      <c r="D11" s="120"/>
      <c r="E11" s="142" t="s">
        <v>74</v>
      </c>
      <c r="F11" s="120"/>
      <c r="G11" s="120"/>
      <c r="H11" s="120"/>
      <c r="I11" s="120"/>
      <c r="J11" s="120"/>
    </row>
    <row r="12" spans="1:10" ht="14.25" customHeight="1" x14ac:dyDescent="0.25">
      <c r="A12" s="57" t="s">
        <v>75</v>
      </c>
      <c r="B12" s="92">
        <v>0</v>
      </c>
      <c r="C12" s="57" t="s">
        <v>76</v>
      </c>
      <c r="D12" s="89">
        <v>603.00627999999995</v>
      </c>
      <c r="E12" s="147" t="s">
        <v>77</v>
      </c>
      <c r="F12" s="120"/>
      <c r="G12" s="120"/>
      <c r="H12" s="148">
        <v>0</v>
      </c>
      <c r="I12" s="120"/>
      <c r="J12" s="120"/>
    </row>
    <row r="13" spans="1:10" ht="14.25" customHeight="1" x14ac:dyDescent="0.25">
      <c r="A13" s="57" t="s">
        <v>78</v>
      </c>
      <c r="B13" s="92">
        <v>0</v>
      </c>
      <c r="C13" s="57" t="s">
        <v>79</v>
      </c>
      <c r="D13" s="89">
        <v>0</v>
      </c>
      <c r="E13" s="147" t="s">
        <v>80</v>
      </c>
      <c r="F13" s="120"/>
      <c r="G13" s="120"/>
      <c r="H13" s="148">
        <v>0</v>
      </c>
      <c r="I13" s="120"/>
      <c r="J13" s="120"/>
    </row>
    <row r="14" spans="1:10" ht="14.25" customHeight="1" x14ac:dyDescent="0.25">
      <c r="A14" s="57" t="s">
        <v>81</v>
      </c>
      <c r="B14" s="92">
        <v>0</v>
      </c>
      <c r="C14" s="57" t="s">
        <v>82</v>
      </c>
      <c r="D14" s="89">
        <v>0</v>
      </c>
      <c r="E14" s="147" t="s">
        <v>83</v>
      </c>
      <c r="F14" s="120"/>
      <c r="G14" s="120"/>
      <c r="H14" s="148">
        <v>0</v>
      </c>
      <c r="I14" s="120"/>
      <c r="J14" s="120"/>
    </row>
    <row r="15" spans="1:10" ht="14.25" customHeight="1" x14ac:dyDescent="0.25">
      <c r="A15" s="57" t="s">
        <v>84</v>
      </c>
      <c r="B15" s="92">
        <v>0</v>
      </c>
      <c r="C15" s="57" t="s">
        <v>85</v>
      </c>
      <c r="D15" s="89">
        <v>0</v>
      </c>
      <c r="E15" s="147" t="s">
        <v>86</v>
      </c>
      <c r="F15" s="120"/>
      <c r="G15" s="120"/>
      <c r="H15" s="148">
        <v>0</v>
      </c>
      <c r="I15" s="120"/>
      <c r="J15" s="120"/>
    </row>
    <row r="16" spans="1:10" ht="14.25" customHeight="1" x14ac:dyDescent="0.25">
      <c r="A16" s="57" t="s">
        <v>87</v>
      </c>
      <c r="B16" s="92">
        <v>0</v>
      </c>
      <c r="C16" s="57" t="s">
        <v>88</v>
      </c>
      <c r="D16" s="89">
        <v>0</v>
      </c>
      <c r="E16" s="147" t="s">
        <v>89</v>
      </c>
      <c r="F16" s="120"/>
      <c r="G16" s="120"/>
      <c r="H16" s="148">
        <v>0</v>
      </c>
      <c r="I16" s="120"/>
      <c r="J16" s="120"/>
    </row>
    <row r="17" spans="1:10" ht="14.25" customHeight="1" x14ac:dyDescent="0.25">
      <c r="A17" s="57" t="s">
        <v>90</v>
      </c>
      <c r="B17" s="92">
        <v>0</v>
      </c>
      <c r="C17" s="57" t="s">
        <v>91</v>
      </c>
      <c r="D17" s="89">
        <v>0</v>
      </c>
      <c r="E17" s="147" t="s">
        <v>92</v>
      </c>
      <c r="F17" s="120"/>
      <c r="G17" s="120"/>
      <c r="H17" s="148">
        <v>0</v>
      </c>
      <c r="I17" s="120"/>
      <c r="J17" s="120"/>
    </row>
    <row r="18" spans="1:10" ht="14.25" customHeight="1" x14ac:dyDescent="0.25">
      <c r="A18" s="57" t="s">
        <v>93</v>
      </c>
      <c r="B18" s="92">
        <v>581.38730999999996</v>
      </c>
      <c r="C18" s="57" t="s">
        <v>94</v>
      </c>
      <c r="D18" s="89">
        <v>0</v>
      </c>
      <c r="E18" s="147" t="s">
        <v>95</v>
      </c>
      <c r="F18" s="120"/>
      <c r="G18" s="120"/>
      <c r="H18" s="148">
        <v>55.054389999999998</v>
      </c>
      <c r="I18" s="120"/>
      <c r="J18" s="120"/>
    </row>
    <row r="19" spans="1:10" ht="14.25" customHeight="1" x14ac:dyDescent="0.25">
      <c r="A19" s="57" t="s">
        <v>96</v>
      </c>
      <c r="B19" s="92">
        <v>0</v>
      </c>
      <c r="C19" s="57" t="s">
        <v>97</v>
      </c>
      <c r="D19" s="89">
        <v>26.249610000000001</v>
      </c>
      <c r="E19" s="147" t="s">
        <v>98</v>
      </c>
      <c r="F19" s="120"/>
      <c r="G19" s="120"/>
      <c r="H19" s="148">
        <v>-114.50193</v>
      </c>
      <c r="I19" s="120"/>
      <c r="J19" s="120"/>
    </row>
    <row r="20" spans="1:10" ht="27" customHeight="1" x14ac:dyDescent="0.25">
      <c r="A20" s="57" t="s">
        <v>99</v>
      </c>
      <c r="B20" s="92">
        <v>0</v>
      </c>
      <c r="C20" s="57" t="s">
        <v>41</v>
      </c>
      <c r="D20" s="89">
        <v>20.30678</v>
      </c>
      <c r="E20" s="147" t="s">
        <v>100</v>
      </c>
      <c r="F20" s="120"/>
      <c r="G20" s="120"/>
      <c r="H20" s="148">
        <v>0</v>
      </c>
      <c r="I20" s="120"/>
      <c r="J20" s="120"/>
    </row>
    <row r="21" spans="1:10" ht="16.5" customHeight="1" x14ac:dyDescent="0.25">
      <c r="A21" s="57" t="s">
        <v>101</v>
      </c>
      <c r="B21" s="92">
        <v>0</v>
      </c>
      <c r="C21" s="57"/>
      <c r="D21" s="93"/>
      <c r="E21" s="147" t="s">
        <v>102</v>
      </c>
      <c r="F21" s="120"/>
      <c r="G21" s="120"/>
      <c r="H21" s="148">
        <v>0</v>
      </c>
      <c r="I21" s="120"/>
      <c r="J21" s="120"/>
    </row>
    <row r="22" spans="1:10" ht="14.25" customHeight="1" x14ac:dyDescent="0.25">
      <c r="A22" s="57" t="s">
        <v>103</v>
      </c>
      <c r="B22" s="92">
        <v>0</v>
      </c>
      <c r="C22" s="57"/>
      <c r="D22" s="93"/>
      <c r="E22" s="147" t="s">
        <v>104</v>
      </c>
      <c r="F22" s="120"/>
      <c r="G22" s="120"/>
      <c r="H22" s="148">
        <v>0</v>
      </c>
      <c r="I22" s="120"/>
      <c r="J22" s="120"/>
    </row>
    <row r="23" spans="1:10" ht="14.25" customHeight="1" x14ac:dyDescent="0.25">
      <c r="A23" s="57" t="s">
        <v>105</v>
      </c>
      <c r="B23" s="92">
        <v>0</v>
      </c>
      <c r="C23" s="57"/>
      <c r="D23" s="93"/>
      <c r="E23" s="147" t="s">
        <v>106</v>
      </c>
      <c r="F23" s="120"/>
      <c r="G23" s="120"/>
      <c r="H23" s="148">
        <v>0</v>
      </c>
      <c r="I23" s="120"/>
      <c r="J23" s="120"/>
    </row>
    <row r="24" spans="1:10" ht="14.25" customHeight="1" x14ac:dyDescent="0.25">
      <c r="A24" s="57" t="s">
        <v>107</v>
      </c>
      <c r="B24" s="92">
        <v>310.31608</v>
      </c>
      <c r="C24" s="94"/>
      <c r="D24" s="91"/>
      <c r="E24" s="147" t="s">
        <v>108</v>
      </c>
      <c r="F24" s="120"/>
      <c r="G24" s="120"/>
      <c r="H24" s="148">
        <v>0</v>
      </c>
      <c r="I24" s="120"/>
      <c r="J24" s="120"/>
    </row>
    <row r="25" spans="1:10" ht="14.25" customHeight="1" x14ac:dyDescent="0.25">
      <c r="A25" s="57" t="s">
        <v>109</v>
      </c>
      <c r="B25" s="92">
        <v>271.07123000000001</v>
      </c>
      <c r="C25" s="94"/>
      <c r="D25" s="91"/>
      <c r="E25" s="147" t="s">
        <v>110</v>
      </c>
      <c r="F25" s="120"/>
      <c r="G25" s="120"/>
      <c r="H25" s="148">
        <v>0</v>
      </c>
      <c r="I25" s="120"/>
      <c r="J25" s="120"/>
    </row>
    <row r="26" spans="1:10" ht="14.25" customHeight="1" x14ac:dyDescent="0.25">
      <c r="A26" s="95" t="s">
        <v>111</v>
      </c>
      <c r="B26" s="92">
        <v>581.38730999999996</v>
      </c>
      <c r="C26" s="94"/>
      <c r="D26" s="91"/>
      <c r="E26" s="147" t="s">
        <v>112</v>
      </c>
      <c r="F26" s="120"/>
      <c r="G26" s="120"/>
      <c r="H26" s="148">
        <v>57.482680000000002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128</v>
      </c>
      <c r="B1" s="124"/>
      <c r="C1" s="124"/>
      <c r="D1" s="124"/>
      <c r="E1" s="124"/>
      <c r="F1" s="124"/>
      <c r="G1" s="124"/>
      <c r="H1" s="124"/>
      <c r="I1" s="124"/>
    </row>
    <row r="2" spans="1:10" ht="46.5" customHeight="1" x14ac:dyDescent="0.25">
      <c r="A2" s="54" t="s">
        <v>22</v>
      </c>
      <c r="B2" s="43" t="s">
        <v>196</v>
      </c>
      <c r="C2" s="43" t="s">
        <v>129</v>
      </c>
      <c r="D2" s="43" t="s">
        <v>202</v>
      </c>
      <c r="E2" s="43" t="s">
        <v>203</v>
      </c>
      <c r="F2" s="43" t="s">
        <v>204</v>
      </c>
      <c r="G2" s="43" t="s">
        <v>205</v>
      </c>
      <c r="H2" s="43" t="s">
        <v>206</v>
      </c>
      <c r="I2" s="43" t="s">
        <v>201</v>
      </c>
      <c r="J2" s="43" t="s">
        <v>201</v>
      </c>
    </row>
    <row r="3" spans="1:10" x14ac:dyDescent="0.25">
      <c r="A3" s="54" t="s">
        <v>24</v>
      </c>
      <c r="B3" s="97" t="s">
        <v>25</v>
      </c>
      <c r="C3" s="98" t="s">
        <v>130</v>
      </c>
      <c r="D3" s="97" t="s">
        <v>25</v>
      </c>
      <c r="E3" s="97" t="s">
        <v>25</v>
      </c>
      <c r="F3" s="97" t="s">
        <v>25</v>
      </c>
      <c r="G3" s="97" t="s">
        <v>25</v>
      </c>
      <c r="H3" s="97" t="s">
        <v>25</v>
      </c>
      <c r="I3" s="97" t="s">
        <v>201</v>
      </c>
      <c r="J3" s="97" t="s">
        <v>201</v>
      </c>
    </row>
    <row r="4" spans="1:10" s="7" customFormat="1" ht="21.6" x14ac:dyDescent="0.25">
      <c r="A4" s="9" t="s">
        <v>3</v>
      </c>
      <c r="B4" s="99" t="s">
        <v>197</v>
      </c>
      <c r="C4" s="98" t="s">
        <v>130</v>
      </c>
      <c r="D4" s="99" t="s">
        <v>197</v>
      </c>
      <c r="E4" s="99" t="s">
        <v>207</v>
      </c>
      <c r="F4" s="99" t="s">
        <v>207</v>
      </c>
      <c r="G4" s="99" t="s">
        <v>207</v>
      </c>
      <c r="H4" s="99" t="s">
        <v>208</v>
      </c>
      <c r="I4" s="99" t="s">
        <v>201</v>
      </c>
      <c r="J4" s="99" t="s">
        <v>201</v>
      </c>
    </row>
    <row r="5" spans="1:10" s="7" customFormat="1" x14ac:dyDescent="0.25">
      <c r="A5" s="9" t="s">
        <v>29</v>
      </c>
      <c r="B5" s="100" t="s">
        <v>30</v>
      </c>
      <c r="C5" s="98" t="s">
        <v>130</v>
      </c>
      <c r="D5" s="100" t="s">
        <v>30</v>
      </c>
      <c r="E5" s="100" t="s">
        <v>30</v>
      </c>
      <c r="F5" s="100" t="s">
        <v>30</v>
      </c>
      <c r="G5" s="100" t="s">
        <v>30</v>
      </c>
      <c r="H5" s="100" t="s">
        <v>30</v>
      </c>
      <c r="I5" s="100" t="s">
        <v>201</v>
      </c>
      <c r="J5" s="100" t="s">
        <v>201</v>
      </c>
    </row>
    <row r="6" spans="1:10" x14ac:dyDescent="0.25">
      <c r="A6" s="54" t="s">
        <v>32</v>
      </c>
      <c r="B6" s="101">
        <v>581.38730999999996</v>
      </c>
      <c r="C6" s="98">
        <v>1387.3772750908199</v>
      </c>
      <c r="D6" s="101">
        <v>1916.0012186992001</v>
      </c>
      <c r="E6" s="101">
        <v>2459.5892724582</v>
      </c>
      <c r="F6" s="101">
        <v>1874.7104215032</v>
      </c>
      <c r="G6" s="101">
        <v>262.0691325537</v>
      </c>
      <c r="H6" s="101">
        <v>424.51633023980003</v>
      </c>
      <c r="I6" s="101" t="s">
        <v>201</v>
      </c>
      <c r="J6" s="101" t="s">
        <v>201</v>
      </c>
    </row>
    <row r="7" spans="1:10" x14ac:dyDescent="0.25">
      <c r="A7" s="54" t="s">
        <v>34</v>
      </c>
      <c r="B7" s="44">
        <v>0</v>
      </c>
      <c r="C7" s="98">
        <v>0.63487559999999998</v>
      </c>
      <c r="D7" s="44">
        <v>0.78647099999999992</v>
      </c>
      <c r="E7" s="44">
        <v>0.64032100000000003</v>
      </c>
      <c r="F7" s="44">
        <v>0.66195899999999996</v>
      </c>
      <c r="G7" s="44">
        <v>0.70361699999999994</v>
      </c>
      <c r="H7" s="44">
        <v>0.38201000000000002</v>
      </c>
      <c r="I7" s="44" t="s">
        <v>201</v>
      </c>
      <c r="J7" s="44" t="s">
        <v>201</v>
      </c>
    </row>
    <row r="8" spans="1:10" x14ac:dyDescent="0.25">
      <c r="A8" s="54" t="s">
        <v>35</v>
      </c>
      <c r="B8" s="101">
        <v>0</v>
      </c>
      <c r="C8" s="98">
        <v>1.5767399999999998</v>
      </c>
      <c r="D8" s="101">
        <v>0.92269999999999996</v>
      </c>
      <c r="E8" s="101">
        <v>1.2113</v>
      </c>
      <c r="F8" s="101">
        <v>3.8130999999999999</v>
      </c>
      <c r="G8" s="101">
        <v>1.1033999999999999</v>
      </c>
      <c r="H8" s="101">
        <v>0.83320000000000005</v>
      </c>
      <c r="I8" s="101" t="s">
        <v>201</v>
      </c>
      <c r="J8" s="101" t="s">
        <v>201</v>
      </c>
    </row>
    <row r="9" spans="1:10" x14ac:dyDescent="0.25">
      <c r="A9" s="54" t="s">
        <v>36</v>
      </c>
      <c r="B9" s="97">
        <v>0</v>
      </c>
      <c r="C9" s="98">
        <v>1.1226516169460536</v>
      </c>
      <c r="D9" s="97">
        <v>1.8507842173121929</v>
      </c>
      <c r="E9" s="97">
        <v>0.8931903103102089</v>
      </c>
      <c r="F9" s="97">
        <v>0.64976953171532126</v>
      </c>
      <c r="G9" s="97">
        <v>1.8780247526835196</v>
      </c>
      <c r="H9" s="97">
        <v>0.34148927270902552</v>
      </c>
      <c r="I9" s="97" t="s">
        <v>201</v>
      </c>
      <c r="J9" s="97" t="s">
        <v>201</v>
      </c>
    </row>
    <row r="10" spans="1:10" ht="21.6" customHeight="1" x14ac:dyDescent="0.25">
      <c r="A10" s="54" t="s">
        <v>37</v>
      </c>
      <c r="B10" s="101">
        <v>0</v>
      </c>
      <c r="C10" s="98">
        <v>0.10644000000000001</v>
      </c>
      <c r="D10" s="101">
        <v>5.2499999999999998E-2</v>
      </c>
      <c r="E10" s="101">
        <v>8.0100000000000005E-2</v>
      </c>
      <c r="F10" s="101">
        <v>6.1999999999999998E-3</v>
      </c>
      <c r="G10" s="101">
        <v>0.10639999999999999</v>
      </c>
      <c r="H10" s="101">
        <v>0.28699999999999998</v>
      </c>
      <c r="I10" s="101" t="s">
        <v>201</v>
      </c>
      <c r="J10" s="101" t="s">
        <v>201</v>
      </c>
    </row>
    <row r="11" spans="1:10" x14ac:dyDescent="0.25">
      <c r="A11" s="54" t="s">
        <v>38</v>
      </c>
      <c r="B11" s="101">
        <v>601.55622000000005</v>
      </c>
      <c r="C11" s="98">
        <v>737.95316199356</v>
      </c>
      <c r="D11" s="101">
        <v>1056.6708997082001</v>
      </c>
      <c r="E11" s="101">
        <v>1607.2895351151001</v>
      </c>
      <c r="F11" s="101">
        <v>64.320530505299999</v>
      </c>
      <c r="G11" s="101">
        <v>335.8163587121</v>
      </c>
      <c r="H11" s="101">
        <v>625.66848592709994</v>
      </c>
      <c r="I11" s="101" t="s">
        <v>201</v>
      </c>
      <c r="J11" s="101" t="s">
        <v>201</v>
      </c>
    </row>
    <row r="12" spans="1:10" s="7" customFormat="1" x14ac:dyDescent="0.25">
      <c r="A12" s="9" t="s">
        <v>39</v>
      </c>
      <c r="B12" s="45">
        <v>0</v>
      </c>
      <c r="C12" s="98">
        <v>1.0242199999999999</v>
      </c>
      <c r="D12" s="45">
        <v>1.0569</v>
      </c>
      <c r="E12" s="45">
        <v>1.1211</v>
      </c>
      <c r="F12" s="45">
        <v>0.85019999999999996</v>
      </c>
      <c r="G12" s="45">
        <v>1.0657000000000001</v>
      </c>
      <c r="H12" s="45">
        <v>1.0271999999999999</v>
      </c>
      <c r="I12" s="45" t="s">
        <v>201</v>
      </c>
      <c r="J12" s="45" t="s">
        <v>201</v>
      </c>
    </row>
    <row r="13" spans="1:10" s="7" customFormat="1" x14ac:dyDescent="0.25">
      <c r="A13" s="9" t="s">
        <v>40</v>
      </c>
      <c r="B13" s="45">
        <v>0</v>
      </c>
      <c r="C13" s="98">
        <v>0.14636999999999997</v>
      </c>
      <c r="D13" s="45">
        <v>0.17522599999999999</v>
      </c>
      <c r="E13" s="45">
        <v>0.19760999999999998</v>
      </c>
      <c r="F13" s="45">
        <v>0.18479399999999999</v>
      </c>
      <c r="G13" s="45">
        <v>9.2729000000000006E-2</v>
      </c>
      <c r="H13" s="45">
        <v>8.1491000000000008E-2</v>
      </c>
      <c r="I13" s="45" t="s">
        <v>201</v>
      </c>
      <c r="J13" s="45" t="s">
        <v>201</v>
      </c>
    </row>
    <row r="14" spans="1:10" s="7" customFormat="1" x14ac:dyDescent="0.25">
      <c r="A14" s="9" t="s">
        <v>41</v>
      </c>
      <c r="B14" s="102">
        <v>20.30678</v>
      </c>
      <c r="C14" s="98">
        <v>14.67282777074</v>
      </c>
      <c r="D14" s="102">
        <v>0.73290077779999996</v>
      </c>
      <c r="E14" s="102">
        <v>33.174695605700002</v>
      </c>
      <c r="F14" s="102">
        <v>1.6854671668999999</v>
      </c>
      <c r="G14" s="102">
        <v>8.4489755974000005</v>
      </c>
      <c r="H14" s="102">
        <v>29.322099705900001</v>
      </c>
      <c r="I14" s="102" t="s">
        <v>201</v>
      </c>
      <c r="J14" s="102" t="s">
        <v>201</v>
      </c>
    </row>
    <row r="15" spans="1:10" x14ac:dyDescent="0.25">
      <c r="A15" s="54" t="s">
        <v>43</v>
      </c>
      <c r="B15" s="44">
        <v>0</v>
      </c>
      <c r="C15" s="98">
        <v>4.7886399999999996E-2</v>
      </c>
      <c r="D15" s="44">
        <v>-2.1877000000000001E-2</v>
      </c>
      <c r="E15" s="44">
        <v>2.1097999999999999E-2</v>
      </c>
      <c r="F15" s="44">
        <v>1.047E-3</v>
      </c>
      <c r="G15" s="44">
        <v>0.12887999999999999</v>
      </c>
      <c r="H15" s="44">
        <v>0.11028399999999999</v>
      </c>
      <c r="I15" s="44" t="s">
        <v>201</v>
      </c>
      <c r="J15" s="44" t="s">
        <v>201</v>
      </c>
    </row>
    <row r="16" spans="1:10" s="7" customFormat="1" ht="25.8" customHeight="1" x14ac:dyDescent="0.25">
      <c r="A16" s="9" t="s">
        <v>44</v>
      </c>
      <c r="B16" s="102">
        <v>55.054389999999998</v>
      </c>
      <c r="C16" s="98">
        <v>26.549422167580001</v>
      </c>
      <c r="D16" s="102">
        <v>34.766292707800005</v>
      </c>
      <c r="E16" s="102">
        <v>87.791942390100004</v>
      </c>
      <c r="F16" s="102">
        <v>-19.5503702904</v>
      </c>
      <c r="G16" s="102">
        <v>2.6173287371999998</v>
      </c>
      <c r="H16" s="102">
        <v>27.121917293200003</v>
      </c>
      <c r="I16" s="102" t="s">
        <v>201</v>
      </c>
      <c r="J16" s="102" t="s">
        <v>201</v>
      </c>
    </row>
    <row r="17" spans="1:10" x14ac:dyDescent="0.25">
      <c r="A17" s="54" t="s">
        <v>58</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131</v>
      </c>
      <c r="B1" s="124"/>
      <c r="C1" s="124"/>
      <c r="D1" s="124"/>
      <c r="E1" s="124"/>
      <c r="F1" s="124"/>
    </row>
    <row r="2" spans="1:6" x14ac:dyDescent="0.25">
      <c r="A2" s="51" t="s">
        <v>132</v>
      </c>
      <c r="B2" s="50" t="s">
        <v>133</v>
      </c>
      <c r="C2" s="50" t="s">
        <v>134</v>
      </c>
      <c r="D2" s="50" t="s">
        <v>135</v>
      </c>
      <c r="E2" s="50" t="s">
        <v>123</v>
      </c>
      <c r="F2" s="50" t="s">
        <v>136</v>
      </c>
    </row>
    <row r="3" spans="1:6" ht="48" customHeight="1" x14ac:dyDescent="0.25">
      <c r="A3" s="104">
        <v>43355</v>
      </c>
      <c r="B3" s="52" t="s">
        <v>137</v>
      </c>
      <c r="C3" s="105" t="s">
        <v>138</v>
      </c>
      <c r="D3" s="105"/>
      <c r="E3" s="52" t="s">
        <v>139</v>
      </c>
      <c r="F3" s="105"/>
    </row>
    <row r="4" spans="1:6" ht="49.5" customHeight="1" x14ac:dyDescent="0.25">
      <c r="A4" s="104">
        <v>43306</v>
      </c>
      <c r="B4" s="52" t="s">
        <v>140</v>
      </c>
      <c r="C4" s="105" t="s">
        <v>141</v>
      </c>
      <c r="D4" s="105"/>
      <c r="E4" s="52" t="s">
        <v>142</v>
      </c>
      <c r="F4" s="105" t="s">
        <v>143</v>
      </c>
    </row>
    <row r="5" spans="1:6" ht="79.8" x14ac:dyDescent="0.25">
      <c r="A5" s="104">
        <v>43273</v>
      </c>
      <c r="B5" s="52" t="s">
        <v>144</v>
      </c>
      <c r="C5" s="105" t="s">
        <v>145</v>
      </c>
      <c r="D5" s="105"/>
      <c r="E5" s="52" t="s">
        <v>142</v>
      </c>
      <c r="F5" s="105" t="s">
        <v>146</v>
      </c>
    </row>
    <row r="6" spans="1:6" ht="22.8" x14ac:dyDescent="0.25">
      <c r="A6" s="104">
        <v>43262</v>
      </c>
      <c r="B6" s="52" t="s">
        <v>147</v>
      </c>
      <c r="C6" s="105" t="s">
        <v>145</v>
      </c>
      <c r="D6" s="105"/>
      <c r="E6" s="52" t="s">
        <v>148</v>
      </c>
      <c r="F6" s="105" t="s">
        <v>149</v>
      </c>
    </row>
    <row r="7" spans="1:6" ht="34.200000000000003" x14ac:dyDescent="0.25">
      <c r="A7" s="104">
        <v>43242</v>
      </c>
      <c r="B7" s="52" t="s">
        <v>150</v>
      </c>
      <c r="C7" s="105" t="s">
        <v>145</v>
      </c>
      <c r="D7" s="105"/>
      <c r="E7" s="52" t="s">
        <v>151</v>
      </c>
      <c r="F7" s="105" t="s">
        <v>152</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153</v>
      </c>
      <c r="B23" s="143"/>
      <c r="C23" s="143"/>
      <c r="D23" s="143"/>
      <c r="E23" s="143"/>
      <c r="F23" s="143"/>
    </row>
    <row r="24" spans="1:6" x14ac:dyDescent="0.25">
      <c r="A24" s="84" t="s">
        <v>132</v>
      </c>
      <c r="B24" s="84" t="s">
        <v>133</v>
      </c>
      <c r="C24" s="84" t="s">
        <v>154</v>
      </c>
      <c r="D24" s="84" t="s">
        <v>155</v>
      </c>
      <c r="E24" s="84" t="s">
        <v>123</v>
      </c>
      <c r="F24" s="84" t="s">
        <v>136</v>
      </c>
    </row>
    <row r="25" spans="1:6" x14ac:dyDescent="0.25">
      <c r="A25" s="107">
        <v>43483</v>
      </c>
      <c r="B25" s="58" t="s">
        <v>156</v>
      </c>
      <c r="C25" s="108" t="s">
        <v>157</v>
      </c>
      <c r="D25" s="108"/>
      <c r="E25" s="58" t="s">
        <v>139</v>
      </c>
      <c r="F25" s="108" t="s">
        <v>158</v>
      </c>
    </row>
    <row r="26" spans="1:6" x14ac:dyDescent="0.25">
      <c r="A26" s="107">
        <v>43474</v>
      </c>
      <c r="B26" s="58" t="s">
        <v>159</v>
      </c>
      <c r="C26" s="108" t="s">
        <v>160</v>
      </c>
      <c r="D26" s="108"/>
      <c r="E26" s="58" t="s">
        <v>139</v>
      </c>
      <c r="F26" s="108"/>
    </row>
    <row r="27" spans="1:6" x14ac:dyDescent="0.25">
      <c r="A27" s="107">
        <v>43444</v>
      </c>
      <c r="B27" s="58" t="s">
        <v>161</v>
      </c>
      <c r="C27" s="108" t="s">
        <v>162</v>
      </c>
      <c r="D27" s="108"/>
      <c r="E27" s="58" t="s">
        <v>163</v>
      </c>
      <c r="F27" s="108" t="s">
        <v>164</v>
      </c>
    </row>
    <row r="28" spans="1:6" x14ac:dyDescent="0.25">
      <c r="A28" s="107">
        <v>43409</v>
      </c>
      <c r="B28" s="58" t="s">
        <v>165</v>
      </c>
      <c r="C28" s="108" t="s">
        <v>166</v>
      </c>
      <c r="D28" s="108"/>
      <c r="E28" s="58"/>
      <c r="F28" s="108" t="s">
        <v>167</v>
      </c>
    </row>
    <row r="29" spans="1:6" x14ac:dyDescent="0.25">
      <c r="A29" s="107">
        <v>43398</v>
      </c>
      <c r="B29" s="58" t="s">
        <v>168</v>
      </c>
      <c r="C29" s="108"/>
      <c r="D29" s="108" t="s">
        <v>169</v>
      </c>
      <c r="E29" s="58" t="s">
        <v>139</v>
      </c>
      <c r="F29" s="108" t="s">
        <v>170</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171</v>
      </c>
      <c r="B1" s="124"/>
      <c r="C1" s="124"/>
      <c r="D1" s="124"/>
      <c r="E1" s="124"/>
      <c r="F1" s="124"/>
      <c r="G1" s="124"/>
      <c r="H1" s="124"/>
      <c r="I1" s="124"/>
      <c r="J1" s="124"/>
      <c r="K1" s="124"/>
      <c r="L1" s="124"/>
      <c r="M1" s="124"/>
      <c r="N1" s="124"/>
    </row>
    <row r="2" spans="1:18" s="1" customFormat="1" ht="25.5" customHeight="1" x14ac:dyDescent="0.25">
      <c r="A2" s="55" t="s">
        <v>172</v>
      </c>
      <c r="B2" s="55" t="s">
        <v>173</v>
      </c>
      <c r="C2" s="55" t="s">
        <v>174</v>
      </c>
      <c r="D2" s="55" t="s">
        <v>175</v>
      </c>
      <c r="E2" s="55" t="s">
        <v>176</v>
      </c>
      <c r="F2" s="55" t="s">
        <v>177</v>
      </c>
      <c r="G2" s="55" t="s">
        <v>178</v>
      </c>
      <c r="H2" s="55" t="s">
        <v>16</v>
      </c>
      <c r="I2" s="55" t="s">
        <v>179</v>
      </c>
      <c r="J2" s="55" t="s">
        <v>180</v>
      </c>
      <c r="K2" s="55" t="s">
        <v>181</v>
      </c>
      <c r="L2" s="55" t="s">
        <v>182</v>
      </c>
      <c r="M2" s="55" t="s">
        <v>19</v>
      </c>
      <c r="N2" s="55" t="s">
        <v>183</v>
      </c>
      <c r="O2" s="3"/>
      <c r="P2" s="110" t="str">
        <f ca="1">Q2</f>
        <v>2019-04-16</v>
      </c>
      <c r="Q2" s="1" t="str">
        <f ca="1">[1]!td(R2-1)</f>
        <v>2019-04-16</v>
      </c>
      <c r="R2" s="3">
        <f ca="1">TODAY()</f>
        <v>43572</v>
      </c>
    </row>
    <row r="3" spans="1:18" ht="15.75" customHeight="1" x14ac:dyDescent="0.25">
      <c r="A3" s="111" t="str">
        <f>[1]!b_info_name(L3)</f>
        <v>19蒙牛乳业SCP001</v>
      </c>
      <c r="B3" s="2" t="str">
        <f>[1]!b_issue_firstissue(L3)</f>
        <v>2019-04-18</v>
      </c>
      <c r="C3" s="111">
        <f>[1]!b_info_term(L3)</f>
        <v>0.6986</v>
      </c>
      <c r="D3" s="112" t="str">
        <f>[1]!issuerrating(L3)</f>
        <v>AAA</v>
      </c>
      <c r="E3" s="112" t="str">
        <f>[1]!b_info_creditrating(L3)</f>
        <v>-</v>
      </c>
      <c r="F3" s="111" t="str">
        <f>[1]!b_rate_creditratingagency(L3)</f>
        <v>中诚信国际信用评级有限责任公司</v>
      </c>
      <c r="G3" s="113">
        <f>[1]!b_agency_guarantor(L3)</f>
        <v>0</v>
      </c>
      <c r="H3" s="114" t="s">
        <v>184</v>
      </c>
      <c r="I3" s="66"/>
      <c r="J3" s="115" t="s">
        <v>184</v>
      </c>
      <c r="K3" s="116"/>
      <c r="L3" s="41" t="str">
        <f>公式页!A2</f>
        <v>d19041523.IB</v>
      </c>
      <c r="M3" s="114" t="s">
        <v>184</v>
      </c>
      <c r="N3" s="111" t="str">
        <f>[1]!b_agency_leadunderwriter(L3)</f>
        <v>招商银行股份有限公司,中国农业银行股份有限公司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185</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186</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172</v>
      </c>
      <c r="B13" s="55" t="s">
        <v>173</v>
      </c>
      <c r="C13" s="55" t="s">
        <v>174</v>
      </c>
      <c r="D13" s="55" t="s">
        <v>175</v>
      </c>
      <c r="E13" s="55" t="s">
        <v>176</v>
      </c>
      <c r="F13" s="55" t="s">
        <v>177</v>
      </c>
      <c r="G13" s="55" t="s">
        <v>178</v>
      </c>
      <c r="H13" s="55" t="s">
        <v>16</v>
      </c>
      <c r="I13" s="55" t="s">
        <v>179</v>
      </c>
      <c r="J13" s="55" t="s">
        <v>180</v>
      </c>
      <c r="K13" s="55" t="s">
        <v>181</v>
      </c>
      <c r="L13" s="55" t="s">
        <v>182</v>
      </c>
      <c r="M13" s="55" t="s">
        <v>19</v>
      </c>
      <c r="N13" s="55" t="s">
        <v>183</v>
      </c>
      <c r="P13" s="109" t="str">
        <f t="shared" ca="1" si="0"/>
        <v>2019-04-16</v>
      </c>
    </row>
    <row r="14" spans="1:18" ht="15.75" customHeight="1" x14ac:dyDescent="0.25">
      <c r="A14" s="111" t="str">
        <f>[1]!b_info_name(L14)</f>
        <v>19蒙牛乳业SCP001</v>
      </c>
      <c r="B14" s="2" t="str">
        <f>[1]!b_issue_firstissue(L14)</f>
        <v>2019-04-18</v>
      </c>
      <c r="C14" s="111">
        <f>[1]!b_info_term(L14)</f>
        <v>0.6986</v>
      </c>
      <c r="D14" s="112" t="str">
        <f>[1]!issuerrating(L14)</f>
        <v>AAA</v>
      </c>
      <c r="E14" s="112" t="str">
        <f>[1]!b_info_creditrating(L14)</f>
        <v>-</v>
      </c>
      <c r="F14" s="111" t="str">
        <f>[1]!b_rate_creditratingagency(L14)</f>
        <v>中诚信国际信用评级有限责任公司</v>
      </c>
      <c r="G14" s="113">
        <f>[1]!b_agency_guarantor(L14)</f>
        <v>0</v>
      </c>
      <c r="H14" s="114" t="s">
        <v>184</v>
      </c>
      <c r="I14" s="66"/>
      <c r="J14" s="115" t="s">
        <v>184</v>
      </c>
      <c r="K14" s="116">
        <f>K3</f>
        <v>0</v>
      </c>
      <c r="L14" s="42" t="str">
        <f>L3</f>
        <v>d19041523.IB</v>
      </c>
      <c r="M14" s="114" t="s">
        <v>184</v>
      </c>
      <c r="N14" s="111" t="str">
        <f>[1]!b_agency_leadunderwriter(L14)</f>
        <v>招商银行股份有限公司,中国农业银行股份有限公司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187</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188</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189</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190</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191</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192</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193</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194</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195</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2019-04-17T08:05:57Z</dcterms:modified>
</cp:coreProperties>
</file>