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26541911-8FF6-4C97-A6CC-2AE377C12F25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1" i="1"/>
  <c r="M139" i="1"/>
  <c r="M137" i="1"/>
  <c r="O135" i="1"/>
  <c r="M134" i="1"/>
  <c r="S132" i="1"/>
  <c r="O131" i="1"/>
  <c r="S130" i="1"/>
  <c r="M128" i="1"/>
  <c r="O127" i="1"/>
  <c r="O23" i="6"/>
  <c r="F21" i="6"/>
  <c r="C20" i="6"/>
  <c r="M17" i="6"/>
  <c r="G16" i="6"/>
  <c r="D15" i="6"/>
  <c r="C14" i="6"/>
  <c r="H9" i="6"/>
  <c r="F7" i="6"/>
  <c r="G6" i="6"/>
  <c r="H5" i="6"/>
  <c r="G3" i="6"/>
  <c r="S140" i="1"/>
  <c r="S138" i="1"/>
  <c r="S136" i="1"/>
  <c r="M135" i="1"/>
  <c r="S133" i="1"/>
  <c r="O132" i="1"/>
  <c r="M131" i="1"/>
  <c r="O130" i="1"/>
  <c r="S129" i="1"/>
  <c r="M127" i="1"/>
  <c r="H23" i="6"/>
  <c r="E22" i="6"/>
  <c r="B21" i="6"/>
  <c r="O19" i="6"/>
  <c r="F17" i="6"/>
  <c r="C16" i="6"/>
  <c r="D9" i="6"/>
  <c r="E8" i="6"/>
  <c r="B7" i="6"/>
  <c r="C6" i="6"/>
  <c r="D5" i="6"/>
  <c r="E4" i="6"/>
  <c r="C3" i="6"/>
  <c r="D23" i="6"/>
  <c r="E18" i="6"/>
  <c r="N9" i="6"/>
  <c r="A8" i="6"/>
  <c r="N5" i="6"/>
  <c r="A4" i="6"/>
  <c r="M140" i="1"/>
  <c r="M136" i="1"/>
  <c r="O133" i="1"/>
  <c r="O129" i="1"/>
  <c r="M123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A22" i="6"/>
  <c r="B17" i="6"/>
  <c r="S139" i="1"/>
  <c r="S135" i="1"/>
  <c r="M133" i="1"/>
  <c r="M129" i="1"/>
  <c r="S127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N20" i="6"/>
  <c r="O15" i="6"/>
  <c r="M6" i="6"/>
  <c r="M138" i="1"/>
  <c r="S134" i="1"/>
  <c r="M132" i="1"/>
  <c r="M130" i="1"/>
  <c r="S128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H19" i="6"/>
  <c r="S141" i="1"/>
  <c r="E102" i="1"/>
  <c r="C101" i="1"/>
  <c r="R99" i="1"/>
  <c r="P98" i="1"/>
  <c r="N97" i="1"/>
  <c r="L96" i="1"/>
  <c r="E94" i="1"/>
  <c r="G91" i="1"/>
  <c r="C89" i="1"/>
  <c r="E86" i="1"/>
  <c r="G83" i="1"/>
  <c r="D82" i="1"/>
  <c r="B81" i="1"/>
  <c r="F79" i="1"/>
  <c r="D78" i="1"/>
  <c r="B77" i="1"/>
  <c r="F75" i="1"/>
  <c r="D74" i="1"/>
  <c r="B73" i="1"/>
  <c r="F71" i="1"/>
  <c r="D70" i="1"/>
  <c r="B69" i="1"/>
  <c r="F67" i="1"/>
  <c r="E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G16" i="1"/>
  <c r="C16" i="1"/>
  <c r="P15" i="1"/>
  <c r="L15" i="1"/>
  <c r="E15" i="1"/>
  <c r="G14" i="1"/>
  <c r="C14" i="1"/>
  <c r="F10" i="1"/>
  <c r="F8" i="1"/>
  <c r="B6" i="1"/>
  <c r="B4" i="1"/>
  <c r="N26" i="1"/>
  <c r="C26" i="1"/>
  <c r="L25" i="1"/>
  <c r="R24" i="1"/>
  <c r="G24" i="1"/>
  <c r="C24" i="1"/>
  <c r="L23" i="1"/>
  <c r="G22" i="1"/>
  <c r="P21" i="1"/>
  <c r="L21" i="1"/>
  <c r="R20" i="1"/>
  <c r="G20" i="1"/>
  <c r="C20" i="1"/>
  <c r="L19" i="1"/>
  <c r="E19" i="1"/>
  <c r="C18" i="1"/>
  <c r="L17" i="1"/>
  <c r="R16" i="1"/>
  <c r="F16" i="1"/>
  <c r="O15" i="1"/>
  <c r="J15" i="1"/>
  <c r="F14" i="1"/>
  <c r="B14" i="1"/>
  <c r="B10" i="1"/>
  <c r="B8" i="1"/>
  <c r="C77" i="1"/>
  <c r="C69" i="1"/>
  <c r="G66" i="1"/>
  <c r="E64" i="1"/>
  <c r="C63" i="1"/>
  <c r="C61" i="1"/>
  <c r="G59" i="1"/>
  <c r="G57" i="1"/>
  <c r="G55" i="1"/>
  <c r="G53" i="1"/>
  <c r="E52" i="1"/>
  <c r="E50" i="1"/>
  <c r="E48" i="1"/>
  <c r="C47" i="1"/>
  <c r="C45" i="1"/>
  <c r="C43" i="1"/>
  <c r="G41" i="1"/>
  <c r="G39" i="1"/>
  <c r="G37" i="1"/>
  <c r="E36" i="1"/>
  <c r="E34" i="1"/>
  <c r="E32" i="1"/>
  <c r="C31" i="1"/>
  <c r="N29" i="1"/>
  <c r="P28" i="1"/>
  <c r="R27" i="1"/>
  <c r="C27" i="1"/>
  <c r="L26" i="1"/>
  <c r="N25" i="1"/>
  <c r="P24" i="1"/>
  <c r="R23" i="1"/>
  <c r="G23" i="1"/>
  <c r="E22" i="1"/>
  <c r="G21" i="1"/>
  <c r="P20" i="1"/>
  <c r="R19" i="1"/>
  <c r="C19" i="1"/>
  <c r="G17" i="1"/>
  <c r="J16" i="1"/>
  <c r="M15" i="1"/>
  <c r="B11" i="1"/>
  <c r="B7" i="1"/>
  <c r="S137" i="1"/>
  <c r="O128" i="1"/>
  <c r="S110" i="1"/>
  <c r="R101" i="1"/>
  <c r="P100" i="1"/>
  <c r="N99" i="1"/>
  <c r="L98" i="1"/>
  <c r="G97" i="1"/>
  <c r="E96" i="1"/>
  <c r="G93" i="1"/>
  <c r="C91" i="1"/>
  <c r="E88" i="1"/>
  <c r="G85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D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G26" i="1"/>
  <c r="P25" i="1"/>
  <c r="E25" i="1"/>
  <c r="N24" i="1"/>
  <c r="P23" i="1"/>
  <c r="E23" i="1"/>
  <c r="C22" i="1"/>
  <c r="E21" i="1"/>
  <c r="N20" i="1"/>
  <c r="P19" i="1"/>
  <c r="G18" i="1"/>
  <c r="P17" i="1"/>
  <c r="E17" i="1"/>
  <c r="B16" i="1"/>
  <c r="D15" i="1"/>
  <c r="E5" i="1"/>
  <c r="E74" i="1"/>
  <c r="G65" i="1"/>
  <c r="E62" i="1"/>
  <c r="C59" i="1"/>
  <c r="C57" i="1"/>
  <c r="E54" i="1"/>
  <c r="G51" i="1"/>
  <c r="C49" i="1"/>
  <c r="E46" i="1"/>
  <c r="G43" i="1"/>
  <c r="C41" i="1"/>
  <c r="E38" i="1"/>
  <c r="G35" i="1"/>
  <c r="C33" i="1"/>
  <c r="R29" i="1"/>
  <c r="L28" i="1"/>
  <c r="G27" i="1"/>
  <c r="E26" i="1"/>
  <c r="G25" i="1"/>
  <c r="E24" i="1"/>
  <c r="C23" i="1"/>
  <c r="N21" i="1"/>
  <c r="E20" i="1"/>
  <c r="G19" i="1"/>
  <c r="R17" i="1"/>
  <c r="D16" i="1"/>
  <c r="B15" i="1"/>
  <c r="D14" i="1"/>
  <c r="B9" i="1"/>
  <c r="O134" i="1"/>
  <c r="F113" i="1"/>
  <c r="D110" i="1"/>
  <c r="P103" i="1"/>
  <c r="N101" i="1"/>
  <c r="L100" i="1"/>
  <c r="G99" i="1"/>
  <c r="E98" i="1"/>
  <c r="C97" i="1"/>
  <c r="G95" i="1"/>
  <c r="C93" i="1"/>
  <c r="E90" i="1"/>
  <c r="G87" i="1"/>
  <c r="C85" i="1"/>
  <c r="B83" i="1"/>
  <c r="F81" i="1"/>
  <c r="D80" i="1"/>
  <c r="B79" i="1"/>
  <c r="F77" i="1"/>
  <c r="D76" i="1"/>
  <c r="B75" i="1"/>
  <c r="F73" i="1"/>
  <c r="D72" i="1"/>
  <c r="B71" i="1"/>
  <c r="F69" i="1"/>
  <c r="D68" i="1"/>
  <c r="B67" i="1"/>
  <c r="C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Q16" i="1"/>
  <c r="E16" i="1"/>
  <c r="R15" i="1"/>
  <c r="N15" i="1"/>
  <c r="G15" i="1"/>
  <c r="C15" i="1"/>
  <c r="E14" i="1"/>
  <c r="F11" i="1"/>
  <c r="F9" i="1"/>
  <c r="F7" i="1"/>
  <c r="B5" i="1"/>
  <c r="S131" i="1"/>
  <c r="D112" i="1"/>
  <c r="L103" i="1"/>
  <c r="G101" i="1"/>
  <c r="E100" i="1"/>
  <c r="C99" i="1"/>
  <c r="R97" i="1"/>
  <c r="P96" i="1"/>
  <c r="C95" i="1"/>
  <c r="E92" i="1"/>
  <c r="G89" i="1"/>
  <c r="C87" i="1"/>
  <c r="E84" i="1"/>
  <c r="E82" i="1"/>
  <c r="C81" i="1"/>
  <c r="G79" i="1"/>
  <c r="E78" i="1"/>
  <c r="G75" i="1"/>
  <c r="C73" i="1"/>
  <c r="G71" i="1"/>
  <c r="E70" i="1"/>
  <c r="G67" i="1"/>
  <c r="C65" i="1"/>
  <c r="G63" i="1"/>
  <c r="G61" i="1"/>
  <c r="E60" i="1"/>
  <c r="E58" i="1"/>
  <c r="E56" i="1"/>
  <c r="C55" i="1"/>
  <c r="C53" i="1"/>
  <c r="C51" i="1"/>
  <c r="G49" i="1"/>
  <c r="G47" i="1"/>
  <c r="G45" i="1"/>
  <c r="E44" i="1"/>
  <c r="E42" i="1"/>
  <c r="E40" i="1"/>
  <c r="C39" i="1"/>
  <c r="C37" i="1"/>
  <c r="C35" i="1"/>
  <c r="G33" i="1"/>
  <c r="G31" i="1"/>
  <c r="E30" i="1"/>
  <c r="G29" i="1"/>
  <c r="C29" i="1"/>
  <c r="E28" i="1"/>
  <c r="N27" i="1"/>
  <c r="P26" i="1"/>
  <c r="R25" i="1"/>
  <c r="C25" i="1"/>
  <c r="L24" i="1"/>
  <c r="N23" i="1"/>
  <c r="R21" i="1"/>
  <c r="C21" i="1"/>
  <c r="L20" i="1"/>
  <c r="N19" i="1"/>
  <c r="E18" i="1"/>
  <c r="N17" i="1"/>
  <c r="C17" i="1"/>
  <c r="Q15" i="1"/>
  <c r="F15" i="1"/>
  <c r="E4" i="1"/>
  <c r="P22" i="1" l="1"/>
  <c r="H121" i="1"/>
  <c r="D124" i="1"/>
  <c r="H110" i="1"/>
  <c r="D118" i="1"/>
  <c r="H127" i="1"/>
  <c r="L22" i="1"/>
  <c r="H131" i="1"/>
  <c r="M22" i="1"/>
  <c r="Q22" i="1"/>
  <c r="B109" i="1"/>
  <c r="B111" i="1"/>
  <c r="B112" i="1"/>
  <c r="H118" i="1"/>
  <c r="B120" i="1"/>
  <c r="B122" i="1"/>
  <c r="H124" i="1"/>
  <c r="B128" i="1"/>
  <c r="N22" i="1"/>
  <c r="R22" i="1"/>
  <c r="H109" i="1"/>
  <c r="H111" i="1"/>
  <c r="H117" i="1"/>
  <c r="B119" i="1"/>
  <c r="B123" i="1"/>
  <c r="H125" i="1"/>
  <c r="H129" i="1"/>
  <c r="J22" i="1"/>
  <c r="O22" i="1"/>
  <c r="B110" i="1"/>
  <c r="H112" i="1"/>
  <c r="D119" i="1"/>
  <c r="D123" i="1"/>
  <c r="B126" i="1"/>
  <c r="B130" i="1"/>
  <c r="B117" i="1"/>
  <c r="H119" i="1"/>
  <c r="D120" i="1"/>
  <c r="B121" i="1"/>
  <c r="D122" i="1"/>
  <c r="H123" i="1"/>
  <c r="B125" i="1"/>
  <c r="H126" i="1"/>
  <c r="H128" i="1"/>
  <c r="H130" i="1"/>
  <c r="D117" i="1"/>
  <c r="B118" i="1"/>
  <c r="H120" i="1"/>
  <c r="D121" i="1"/>
  <c r="H122" i="1"/>
  <c r="B124" i="1"/>
  <c r="D125" i="1"/>
  <c r="B127" i="1"/>
  <c r="B129" i="1"/>
  <c r="B131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19" i="6"/>
  <c r="J16" i="6"/>
  <c r="J9" i="6"/>
  <c r="J22" i="6"/>
  <c r="J15" i="6"/>
  <c r="J21" i="6"/>
  <c r="J23" i="6"/>
  <c r="J5" i="6"/>
  <c r="J18" i="6"/>
  <c r="J20" i="6"/>
  <c r="J6" i="6"/>
  <c r="J7" i="6"/>
</calcChain>
</file>

<file path=xl/sharedStrings.xml><?xml version="1.0" encoding="utf-8"?>
<sst xmlns="http://schemas.openxmlformats.org/spreadsheetml/2006/main" count="708" uniqueCount="394">
  <si>
    <t>d19041802.IB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</si>
  <si>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</si>
  <si>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</si>
  <si>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</si>
  <si>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</si>
  <si>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</si>
  <si>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</si>
  <si>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</si>
  <si>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</si>
  <si>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</si>
  <si>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</si>
  <si>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</si>
  <si>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</si>
  <si>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</si>
  <si>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</si>
  <si>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</si>
  <si>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</si>
  <si>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</si>
  <si>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</si>
  <si>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</si>
  <si>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</si>
  <si>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</si>
  <si>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</si>
  <si>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122927.SH</t>
  </si>
  <si>
    <t>主体级别</t>
  </si>
  <si>
    <t>AAA</t>
  </si>
  <si>
    <t>122268.SH</t>
  </si>
  <si>
    <t>*选择性黏贴</t>
  </si>
  <si>
    <t>011452002.IB</t>
  </si>
  <si>
    <t>数据年度</t>
  </si>
  <si>
    <t>2017年</t>
  </si>
  <si>
    <t>122070.SH</t>
  </si>
  <si>
    <t>总资产</t>
  </si>
  <si>
    <t>101459018.IB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</si>
  <si>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</si>
  <si>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</si>
  <si>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</si>
  <si>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</si>
  <si>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</si>
  <si>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</si>
  <si>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</si>
  <si>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</si>
  <si>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</si>
  <si>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</si>
  <si>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</si>
  <si>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</si>
  <si>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</si>
  <si>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</si>
  <si>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</si>
  <si>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</si>
  <si>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</si>
  <si>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</si>
  <si>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</si>
  <si>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</si>
  <si>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</si>
  <si>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</si>
  <si>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</si>
  <si>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</si>
  <si>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</si>
  <si>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</si>
  <si>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</si>
  <si>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</si>
  <si>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</si>
  <si>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</si>
  <si>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</si>
  <si>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</si>
  <si>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</si>
  <si>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</si>
  <si>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</si>
  <si>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</si>
  <si>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</si>
  <si>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</si>
  <si>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</si>
  <si>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</si>
  <si>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</si>
  <si>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</si>
  <si>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</si>
  <si>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</si>
  <si>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</si>
  <si>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</si>
  <si>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</si>
  <si>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</si>
  <si>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</si>
  <si>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</si>
  <si>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</si>
  <si>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</si>
  <si>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</si>
  <si>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</si>
  <si>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</si>
  <si>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</si>
  <si>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</si>
  <si>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</si>
  <si>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</si>
  <si>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</si>
  <si>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</si>
  <si>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</si>
  <si>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</si>
  <si>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</si>
  <si>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</si>
  <si>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</si>
  <si>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</si>
  <si>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</si>
  <si>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</si>
  <si>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</si>
  <si>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</si>
  <si>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</si>
  <si>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</si>
  <si>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</si>
  <si>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</si>
  <si>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</si>
  <si>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</si>
  <si>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</si>
  <si>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</si>
  <si>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</si>
  <si>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</si>
  <si>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</si>
  <si>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</si>
  <si>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</si>
  <si>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</si>
  <si>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011900776.IB</t>
  </si>
  <si>
    <t>20190327</t>
  </si>
  <si>
    <t>19东航股SCP005</t>
  </si>
  <si>
    <t>011900617.IB</t>
  </si>
  <si>
    <t>20190313</t>
  </si>
  <si>
    <t>19东航股SCP004</t>
  </si>
  <si>
    <t>011900558.IB</t>
  </si>
  <si>
    <t>20190311</t>
  </si>
  <si>
    <t>19东航股SCP003</t>
  </si>
  <si>
    <t>101900281.IB</t>
  </si>
  <si>
    <t>20190305</t>
  </si>
  <si>
    <t>19东航股MTN001</t>
  </si>
  <si>
    <t>011900325.IB</t>
  </si>
  <si>
    <t>20190128</t>
  </si>
  <si>
    <t>19东航股SCP002</t>
  </si>
  <si>
    <t>011900048.IB</t>
  </si>
  <si>
    <t>20190108</t>
  </si>
  <si>
    <t>19东航股SCP001</t>
  </si>
  <si>
    <t>011802497.IB</t>
  </si>
  <si>
    <t>20181214</t>
  </si>
  <si>
    <t>18东航股SCP014</t>
  </si>
  <si>
    <t>011802353.IB</t>
  </si>
  <si>
    <t>20181128</t>
  </si>
  <si>
    <t>18东航股SCP013</t>
  </si>
  <si>
    <t>011802074.IB</t>
  </si>
  <si>
    <t>20181026</t>
  </si>
  <si>
    <t>18东航股SCP012</t>
  </si>
  <si>
    <t>011802050.IB</t>
  </si>
  <si>
    <t>20181025</t>
  </si>
  <si>
    <t>18东航股SCP011</t>
  </si>
  <si>
    <t>011801876.IB</t>
  </si>
  <si>
    <t>20180927</t>
  </si>
  <si>
    <t>18东航股SCP010</t>
  </si>
  <si>
    <t>011801829.IB</t>
  </si>
  <si>
    <t>20180919</t>
  </si>
  <si>
    <t>18东航股SCP009</t>
  </si>
  <si>
    <t>011801789.IB</t>
  </si>
  <si>
    <t>20180913</t>
  </si>
  <si>
    <t>18东航股SCP008</t>
  </si>
  <si>
    <t>011801350.IB</t>
  </si>
  <si>
    <t>20180719</t>
  </si>
  <si>
    <t>18东航股SCP007</t>
  </si>
  <si>
    <t>011801304.IB</t>
  </si>
  <si>
    <t>20180713</t>
  </si>
  <si>
    <t>18东航股SCP006</t>
  </si>
  <si>
    <t>011801103.IB</t>
  </si>
  <si>
    <t>20180613</t>
  </si>
  <si>
    <t>18东航股SCP005</t>
  </si>
  <si>
    <t>011801075.IB</t>
  </si>
  <si>
    <t>20180608</t>
  </si>
  <si>
    <t>18东航股SCP004</t>
  </si>
  <si>
    <t>011800720.IB</t>
  </si>
  <si>
    <t>20180416</t>
  </si>
  <si>
    <t>18东航股SCP002</t>
  </si>
  <si>
    <t>011800721.IB</t>
  </si>
  <si>
    <t>18东航股SCP003</t>
  </si>
  <si>
    <t>011800706.IB</t>
  </si>
  <si>
    <t>20180413</t>
  </si>
  <si>
    <t>18东航股SCP001</t>
  </si>
  <si>
    <t>011759088.IB</t>
  </si>
  <si>
    <t>20170925</t>
  </si>
  <si>
    <t>17东航股SCP010</t>
  </si>
  <si>
    <t>011751093.IB</t>
  </si>
  <si>
    <t>20170911</t>
  </si>
  <si>
    <t>17东航股SCP009</t>
  </si>
  <si>
    <t>011752057.IB</t>
  </si>
  <si>
    <t>20170821</t>
  </si>
  <si>
    <t>17东航股SCP008</t>
  </si>
  <si>
    <t>011771029.IB</t>
  </si>
  <si>
    <t>20170818</t>
  </si>
  <si>
    <t>17东航股SCP007</t>
  </si>
  <si>
    <t>011751059.IB</t>
  </si>
  <si>
    <t>20170628</t>
  </si>
  <si>
    <t>17东航股SCP006</t>
  </si>
  <si>
    <t>011752029.IB</t>
  </si>
  <si>
    <t>20170614</t>
  </si>
  <si>
    <t>17东航股SCP005</t>
  </si>
  <si>
    <t>011766014.IB</t>
  </si>
  <si>
    <t>20170424</t>
  </si>
  <si>
    <t>17东航股SCP004</t>
  </si>
  <si>
    <t>011751013.IB</t>
  </si>
  <si>
    <t>20170301</t>
  </si>
  <si>
    <t>17东航股SCP003</t>
  </si>
  <si>
    <t>011760024.IB</t>
  </si>
  <si>
    <t>20170222</t>
  </si>
  <si>
    <t>17东航股SCP002</t>
  </si>
  <si>
    <t>011764004.IB</t>
  </si>
  <si>
    <t>20170118</t>
  </si>
  <si>
    <t>17东航股SCP001</t>
  </si>
  <si>
    <t>011698775.IB</t>
  </si>
  <si>
    <t>20161109</t>
  </si>
  <si>
    <t>16东航股SCP017</t>
  </si>
  <si>
    <t>011698761.IB</t>
  </si>
  <si>
    <t>20161107</t>
  </si>
  <si>
    <t>16东航股SCP016</t>
  </si>
  <si>
    <t>011698749.IB</t>
  </si>
  <si>
    <t>20161101</t>
  </si>
  <si>
    <t>16东航股SCP015</t>
  </si>
  <si>
    <t>136789.SH</t>
  </si>
  <si>
    <t>20161021</t>
  </si>
  <si>
    <t>16东航01</t>
  </si>
  <si>
    <t>136790.SH</t>
  </si>
  <si>
    <t>16东航02</t>
  </si>
  <si>
    <t>011698630.IB</t>
  </si>
  <si>
    <t>20161019</t>
  </si>
  <si>
    <t>16东航股SCP014</t>
  </si>
  <si>
    <t>011698479.IB</t>
  </si>
  <si>
    <t>20160920</t>
  </si>
  <si>
    <t>16东航股SCP013</t>
  </si>
  <si>
    <t>101660054.IB</t>
  </si>
  <si>
    <t>20160718</t>
  </si>
  <si>
    <t>16东航股MTN003</t>
  </si>
  <si>
    <t>101662056.IB</t>
  </si>
  <si>
    <t>20160713</t>
  </si>
  <si>
    <t>16东航股MTN002</t>
  </si>
  <si>
    <t>101651032.IB</t>
  </si>
  <si>
    <t>20160613</t>
  </si>
  <si>
    <t>16东航股MTN001</t>
  </si>
  <si>
    <t>011699914.IB</t>
  </si>
  <si>
    <t>20160607</t>
  </si>
  <si>
    <t>16东航股SCP012</t>
  </si>
  <si>
    <t>011699867.IB</t>
  </si>
  <si>
    <t>20160531</t>
  </si>
  <si>
    <t>16东航股SCP011</t>
  </si>
  <si>
    <t>011699788.IB</t>
  </si>
  <si>
    <t>20160516</t>
  </si>
  <si>
    <t>16东航股SCP010</t>
  </si>
  <si>
    <t>011699753.IB</t>
  </si>
  <si>
    <t>20160506</t>
  </si>
  <si>
    <t>16东航股SCP009</t>
  </si>
  <si>
    <t>011699658.IB</t>
  </si>
  <si>
    <t>20160426</t>
  </si>
  <si>
    <t>16东航股SCP008</t>
  </si>
  <si>
    <t>011699643.IB</t>
  </si>
  <si>
    <t>20160419</t>
  </si>
  <si>
    <t>16东航股SCP007</t>
  </si>
  <si>
    <t>011699609.IB</t>
  </si>
  <si>
    <t>20160413</t>
  </si>
  <si>
    <t>16东航股SCP006</t>
  </si>
  <si>
    <t>011699592.IB</t>
  </si>
  <si>
    <t>20160412</t>
  </si>
  <si>
    <t>16东航股SCP005</t>
  </si>
  <si>
    <t>011699545.IB</t>
  </si>
  <si>
    <t>20160407</t>
  </si>
  <si>
    <t>16东航股SCP004</t>
  </si>
  <si>
    <t>011699529.IB</t>
  </si>
  <si>
    <t>20160324</t>
  </si>
  <si>
    <t>16东航股SCP003</t>
  </si>
  <si>
    <t>011699114.IB</t>
  </si>
  <si>
    <t>20160119</t>
  </si>
  <si>
    <t>16东航股SCP002</t>
  </si>
  <si>
    <t>011699090.IB</t>
  </si>
  <si>
    <t>20160115</t>
  </si>
  <si>
    <t>16东航股SCP001</t>
  </si>
  <si>
    <t>011534009.IB</t>
  </si>
  <si>
    <t>20151228</t>
  </si>
  <si>
    <t>15东航股SCP009</t>
  </si>
  <si>
    <t>011534008.IB</t>
  </si>
  <si>
    <t>20151225</t>
  </si>
  <si>
    <t>15东航股SCP008</t>
  </si>
  <si>
    <t>011534007.IB</t>
  </si>
  <si>
    <t>20151126</t>
  </si>
  <si>
    <t>15东航股SCP007</t>
  </si>
  <si>
    <t>011534006.IB</t>
  </si>
  <si>
    <t>20151118</t>
  </si>
  <si>
    <t>15东航股SCP006</t>
  </si>
  <si>
    <t>011534005.IB</t>
  </si>
  <si>
    <t>20151023</t>
  </si>
  <si>
    <t>15东航股SCP005</t>
  </si>
  <si>
    <t>011534004.IB</t>
  </si>
  <si>
    <t>20150925</t>
  </si>
  <si>
    <t>15东航股SCP004</t>
  </si>
  <si>
    <t>011534003.IB</t>
  </si>
  <si>
    <t>20150625</t>
  </si>
  <si>
    <t>15东航股SCP003</t>
  </si>
  <si>
    <t>011534002.IB</t>
  </si>
  <si>
    <t>20150324</t>
  </si>
  <si>
    <t>15东航股SCP002</t>
  </si>
  <si>
    <t>011534001.IB</t>
  </si>
  <si>
    <t>20150210</t>
  </si>
  <si>
    <t>15东航股SCP001</t>
  </si>
  <si>
    <t>011434001.IB</t>
  </si>
  <si>
    <t>20140513</t>
  </si>
  <si>
    <t>14东航股SCP001</t>
  </si>
  <si>
    <t>011334001.IB</t>
  </si>
  <si>
    <t>20130605</t>
  </si>
  <si>
    <t>13东航股SCP001</t>
  </si>
  <si>
    <t>122241.SH</t>
  </si>
  <si>
    <t>20130318</t>
  </si>
  <si>
    <t>12东航01</t>
  </si>
  <si>
    <t>011234001.IB</t>
  </si>
  <si>
    <t>20120912</t>
  </si>
  <si>
    <t>12东航股SCP001</t>
  </si>
  <si>
    <t>0581011.IB</t>
  </si>
  <si>
    <t>20050803</t>
  </si>
  <si>
    <t>05东航CP01</t>
  </si>
  <si>
    <t>0581013.IB</t>
  </si>
  <si>
    <t>05东航CP02</t>
  </si>
  <si>
    <t>历史主体评级</t>
  </si>
  <si>
    <t>发布日期</t>
  </si>
  <si>
    <t>主体资信级别</t>
  </si>
  <si>
    <t>评级展望</t>
  </si>
  <si>
    <t>评级机构</t>
  </si>
  <si>
    <t>20190131</t>
  </si>
  <si>
    <t>稳定</t>
  </si>
  <si>
    <t>中诚信国际信用评级有限责任公司</t>
  </si>
  <si>
    <t>20180412</t>
  </si>
  <si>
    <t>大公国际资信评估有限公司</t>
  </si>
  <si>
    <t>20170421</t>
  </si>
  <si>
    <t>20160708</t>
  </si>
  <si>
    <t>20160603</t>
  </si>
  <si>
    <t>20160503</t>
  </si>
  <si>
    <t>20151010</t>
  </si>
  <si>
    <t>20150424</t>
  </si>
  <si>
    <t>20141021</t>
  </si>
  <si>
    <t>20140430</t>
  </si>
  <si>
    <t>20130625</t>
  </si>
  <si>
    <t>20121016</t>
  </si>
  <si>
    <t>20120713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</si>
  <si>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</si>
  <si>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</si>
  <si>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</si>
  <si>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</si>
  <si>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</si>
  <si>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</si>
  <si>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</si>
  <si>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</si>
  <si>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</si>
  <si>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</si>
  <si>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</si>
  <si>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</si>
  <si>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</si>
  <si>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</si>
  <si>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</si>
  <si>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</si>
  <si>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</si>
  <si>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</si>
  <si>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</si>
  <si>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</si>
  <si>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</si>
  <si>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</si>
  <si>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</si>
  <si>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</si>
  <si>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</si>
  <si>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</si>
  <si>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</si>
  <si>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</si>
  <si>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</si>
  <si>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</si>
  <si>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</si>
  <si>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</si>
  <si>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</si>
  <si>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</si>
  <si>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</si>
  <si>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</si>
  <si>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</si>
  <si>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</si>
  <si>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中国东方航空股份有限公司</t>
  </si>
  <si>
    <t>中央国有企业</t>
  </si>
  <si>
    <t>工业--运输--航空Ⅲ--航空</t>
  </si>
  <si>
    <t>上海市浦东新区浦东国际机场机场大道66号</t>
  </si>
  <si>
    <t>公司总部位于上海，是我国三大国有骨干航空运输集团之一。公司主要业务范围为国内和经批准的国际、地区航空客、货、邮、行李运输业务及延伸服务。此外，公司还获准开展通用航空业务；航空器维修；航空设备制造与维修；国内外航空公司的代理业务；与航空运输有关的其他业务；保险兼业代理服务；电子商务；空中超市；商品批发、零售。公司以全面深化改革为主线，以国际化、互联网化为引领，围绕转型发展、品牌建设、能力提升，致力于实现“打造世界一流、建设幸福东航”的发展愿景，加快从传统航空承运人向现代航空综合服务集成商转型。公司积极打造上海核心枢纽，优化完善航线网络结构，进一步提升在上海乃至长三角航空运输市场的影响力。公司不断致力于推进品牌形象管理、传播推广、品牌维护等相关工作。通过多年的努力，公司在市场上树立了优质的品牌形象，连续第多年荣膺“中国证券金紫荆”奖，获得IATA认证的“金色标识航空公司”资质、第五届“飞客旅行奖”、最佳雇主、“中国最受尊敬企业奖”、“十大影响力航企”、“海外社交影响力中国品牌前五十”、“最佳表现航空公司”等。</t>
  </si>
  <si>
    <t>中国东方航空集团有限公司</t>
  </si>
  <si>
    <t>香港中央结算(代理人)有限公司</t>
  </si>
  <si>
    <t>中国航空油料集团有限公司</t>
  </si>
  <si>
    <t>DELTA AIR LINES INC</t>
  </si>
  <si>
    <t>上海励程信息技术咨询有限公司</t>
  </si>
  <si>
    <t>A-1</t>
  </si>
  <si>
    <t>海航集团有限公司</t>
  </si>
  <si>
    <t>中国国际航空股份有限公司</t>
  </si>
  <si>
    <t>中国南方航空股份有限公司</t>
  </si>
  <si>
    <t>海南航空控股股份有限公司</t>
  </si>
  <si>
    <t>四川航空股份有限公司</t>
  </si>
  <si>
    <t/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</si>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</sst>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中国东方航空股份有限公司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工业--运输--航空Ⅲ--航空</v>
      </c>
      <c r="C5" s="115"/>
      <c r="D5" s="57" t="s">
        <v>5</v>
      </c>
      <c r="E5" s="114" t="str">
        <f>[1]!b_issuer_regaddress(A2)</f>
        <v>上海市浦东新区浦东国际机场机场大道66号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总部位于上海，是我国三大国有骨干航空运输集团之一。公司主要业务范围为国内和经批准的国际、地区航空客、货、邮、行李运输业务及延伸服务。此外，公司还获准开展通用航空业务；航空器维修；航空设备制造与维修；国内外航空公司的代理业务；与航空运输有关的其他业务；保险兼业代理服务；电子商务；空中超市；商品批发、零售。公司以全面深化改革为主线，以国际化、互联网化为引领，围绕转型发展、品牌建设、能力提升，致力于实现“打造世界一流、建设幸福东航”的发展愿景，加快从传统航空承运人向现代航空综合服务集成商转型。公司积极打造上海核心枢纽，优化完善航线网络结构，进一步提升在上海乃至长三角航空运输市场的影响力。公司不断致力于推进品牌形象管理、传播推广、品牌维护等相关工作。通过多年的努力，公司在市场上树立了优质的品牌形象，连续第多年荣膺“中国证券金紫荆”奖，获得IATA认证的“金色标识航空公司”资质、第五届“飞客旅行奖”、最佳雇主、“中国最受尊敬企业奖”、“十大影响力航企”、“海外社交影响力中国品牌前五十”、“最佳表现航空公司”等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中国东方航空集团有限公司</v>
      </c>
      <c r="C7" s="115"/>
      <c r="D7" s="115"/>
      <c r="E7" s="115"/>
      <c r="F7" s="60">
        <f>[1]!b_issuer_propofshareholder($A$2,"",1)%</f>
        <v>0.35060001373291017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香港中央结算(代理人)有限公司</v>
      </c>
      <c r="C8" s="115"/>
      <c r="D8" s="115"/>
      <c r="E8" s="115"/>
      <c r="F8" s="60">
        <f>[1]!b_issuer_propofshareholder($A$2,"",2)%</f>
        <v>0.28920000076293945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中国航空油料集团有限公司</v>
      </c>
      <c r="C9" s="115"/>
      <c r="D9" s="115"/>
      <c r="E9" s="115"/>
      <c r="F9" s="60">
        <f>[1]!b_issuer_propofshareholder($A$2,"",3)%</f>
        <v>3.490000009536743E-2</v>
      </c>
      <c r="G9" s="59"/>
      <c r="H9" s="20"/>
      <c r="M9" s="25"/>
      <c r="O9" s="25"/>
      <c r="P9" s="62"/>
    </row>
    <row r="10" spans="1:20" s="17" customFormat="1" x14ac:dyDescent="0.25">
      <c r="A10" s="58"/>
      <c r="B10" s="117" t="str">
        <f>[1]!b_issuer_shareholder(A2,"",4)</f>
        <v>DELTA AIR LINES INC</v>
      </c>
      <c r="C10" s="115"/>
      <c r="D10" s="115"/>
      <c r="E10" s="115"/>
      <c r="F10" s="60">
        <f>[1]!b_issuer_propofshareholder($A$2,"",4)%</f>
        <v>3.2200000286102294E-2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 t="str">
        <f>[1]!b_issuer_shareholder(A2,"",5)</f>
        <v>上海励程信息技术咨询有限公司</v>
      </c>
      <c r="C11" s="115"/>
      <c r="D11" s="115"/>
      <c r="E11" s="115"/>
      <c r="F11" s="60">
        <f>[1]!b_issuer_propofshareholder($A$2,"",5)%</f>
        <v>3.2200000286102294E-2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d19041802.IB</v>
      </c>
      <c r="K14" s="26"/>
      <c r="L14" s="27" t="str">
        <f>T15</f>
        <v>122927.SH</v>
      </c>
      <c r="M14" s="27" t="str">
        <f>T16</f>
        <v>122268.SH</v>
      </c>
      <c r="N14" s="27" t="str">
        <f>T17</f>
        <v>011452002.IB</v>
      </c>
      <c r="O14" s="27" t="str">
        <f>T18</f>
        <v>122070.SH</v>
      </c>
      <c r="P14" s="27" t="str">
        <f>T19</f>
        <v>101459018.IB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中国东方航空股份有限公司</v>
      </c>
      <c r="K15" s="133"/>
      <c r="L15" s="8" t="str">
        <f>[1]!b_info_issuer(L14)</f>
        <v>海航集团有限公司</v>
      </c>
      <c r="M15" s="8" t="str">
        <f>[1]!b_info_issuer(M14)</f>
        <v>中国国际航空股份有限公司</v>
      </c>
      <c r="N15" s="8" t="str">
        <f>[1]!b_info_issuer(N14)</f>
        <v>中国南方航空股份有限公司</v>
      </c>
      <c r="O15" s="8" t="str">
        <f>[1]!b_info_issuer(O14)</f>
        <v>海南航空控股股份有限公司</v>
      </c>
      <c r="P15" s="8" t="str">
        <f>[1]!b_info_issuer(P14)</f>
        <v>四川航空股份有限公司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>
        <f>[1]!b_info_latestissurercreditrating(Q14)</f>
        <v>0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地方国有企业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>
        <f>[1]!s_info_nature(Q14)</f>
        <v>0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2274.64</v>
      </c>
      <c r="K19" s="119"/>
      <c r="L19" s="67">
        <f>[1]!b_stm07_bs(L14,74,L13,1)/100000000</f>
        <v>12319.3629717354</v>
      </c>
      <c r="M19" s="67">
        <f>[1]!b_stm07_bs(M14,74,M13,1)/100000000</f>
        <v>2357.1781599999999</v>
      </c>
      <c r="N19" s="67">
        <f>[1]!b_stm07_bs(N14,74,N13,1)/100000000</f>
        <v>2183.29</v>
      </c>
      <c r="O19" s="67">
        <f>[1]!b_stm07_bs(O14,74,O13,1)/100000000</f>
        <v>1973.4788799999999</v>
      </c>
      <c r="P19" s="67">
        <f>[1]!b_stm07_bs(P14,74,P13,1)/100000000</f>
        <v>305.4755078558</v>
      </c>
      <c r="Q19" s="67">
        <f>[1]!b_stm07_bs(Q14,74,Q13,1)/100000000</f>
        <v>0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0.75153000000000003</v>
      </c>
      <c r="K20" s="119"/>
      <c r="L20" s="10">
        <f>[1]!s_fa_debttoassets(L14,L13)/100</f>
        <v>0.59784100000000007</v>
      </c>
      <c r="M20" s="10">
        <f>[1]!s_fa_debttoassets(M14,M13)/100</f>
        <v>0.59726500000000005</v>
      </c>
      <c r="N20" s="10">
        <f>[1]!s_fa_debttoassets(N14,N13)/100</f>
        <v>0.71526899999999993</v>
      </c>
      <c r="O20" s="10">
        <f>[1]!s_fa_debttoassets(O14,O13)/100</f>
        <v>0.62524400000000002</v>
      </c>
      <c r="P20" s="10">
        <f>[1]!s_fa_debttoassets(P14,P13)/100</f>
        <v>0.837418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35</v>
      </c>
      <c r="J21" s="67">
        <f>[1]!s_fa_current(J14,J13)</f>
        <v>0.22770000000000001</v>
      </c>
      <c r="K21" s="119"/>
      <c r="L21" s="67">
        <f>[1]!s_fa_current(L14,L13)</f>
        <v>1.4726999999999999</v>
      </c>
      <c r="M21" s="67">
        <f>[1]!s_fa_current(M14,M13)</f>
        <v>0.2893</v>
      </c>
      <c r="N21" s="67">
        <f>[1]!s_fa_current(N14,N13)</f>
        <v>0.25700000000000001</v>
      </c>
      <c r="O21" s="67">
        <f>[1]!s_fa_current(O14,O13)</f>
        <v>0.63219999999999998</v>
      </c>
      <c r="P21" s="67">
        <f>[1]!s_fa_current(P14,P13)</f>
        <v>0.2392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36</v>
      </c>
      <c r="J22" s="65">
        <f>(J96+J97+J98+J99+J100+J101)/J103</f>
        <v>1.1703351144768039</v>
      </c>
      <c r="K22" s="119"/>
      <c r="L22" s="65">
        <f>(公式页!L96+公式页!L97+公式页!L98+公式页!L99+公式页!L100+公式页!L101)/公式页!L103</f>
        <v>1.1583109880652678</v>
      </c>
      <c r="M22" s="65">
        <f t="shared" ref="M22:R22" si="0">(M96+M97+M98+M99+M100+M101)/M103</f>
        <v>0.61518989995241846</v>
      </c>
      <c r="N22" s="65">
        <f t="shared" si="0"/>
        <v>0.9469958980133516</v>
      </c>
      <c r="O22" s="65">
        <f t="shared" si="0"/>
        <v>1.1046978325431185</v>
      </c>
      <c r="P22" s="65">
        <f t="shared" si="0"/>
        <v>3.0093152501792662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37</v>
      </c>
      <c r="J23" s="67">
        <f>[1]!s_fa_ebitdatodebt(J14,J13)</f>
        <v>0.15010000000000001</v>
      </c>
      <c r="K23" s="119"/>
      <c r="L23" s="67">
        <f>[1]!s_fa_ebitdatodebt(L14,L13)</f>
        <v>7.6399999999999996E-2</v>
      </c>
      <c r="M23" s="67">
        <f>[1]!s_fa_ebitdatodebt(M14,M13)</f>
        <v>0.19950000000000001</v>
      </c>
      <c r="N23" s="67">
        <f>[1]!s_fa_ebitdatodebt(N14,N13)</f>
        <v>0.15859999999999999</v>
      </c>
      <c r="O23" s="67">
        <f>[1]!s_fa_ebitdatodebt(O14,O13)</f>
        <v>0.1143</v>
      </c>
      <c r="P23" s="67">
        <f>[1]!s_fa_ebitdatodebt(P14,P13)</f>
        <v>0.12529999999999999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38</v>
      </c>
      <c r="J24" s="67">
        <f>[1]!b_stm07_is(J14,9,J13,1)/100000000</f>
        <v>1017.21</v>
      </c>
      <c r="K24" s="119"/>
      <c r="L24" s="67">
        <f>[1]!b_stm07_is(L14,9,L13,1)/100000000</f>
        <v>5870.9932098408999</v>
      </c>
      <c r="M24" s="67">
        <f>[1]!b_stm07_is(M14,9,M13,1)/100000000</f>
        <v>1213.6289899999999</v>
      </c>
      <c r="N24" s="67">
        <f>[1]!b_stm07_is(N14,9,N13,1)/100000000</f>
        <v>1274.8900000000001</v>
      </c>
      <c r="O24" s="67">
        <f>[1]!b_stm07_is(O14,9,O13,1)/100000000</f>
        <v>599.03948000000003</v>
      </c>
      <c r="P24" s="67">
        <f>[1]!b_stm07_is(P14,9,P13,1)/100000000</f>
        <v>203.1638085946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39</v>
      </c>
      <c r="J25" s="11">
        <f>[1]!s_fa_salescashintoor(J14,J13)%</f>
        <v>1.0649999999999999</v>
      </c>
      <c r="K25" s="119"/>
      <c r="L25" s="11">
        <f>[1]!s_fa_salescashintoor(L14,L13)%</f>
        <v>1.0095000000000001</v>
      </c>
      <c r="M25" s="11">
        <f>[1]!s_fa_salescashintoor(M14,M13)%</f>
        <v>1.0702</v>
      </c>
      <c r="N25" s="11">
        <f>[1]!s_fa_salescashintoor(N14,N13)%</f>
        <v>1.0920000000000001</v>
      </c>
      <c r="O25" s="11">
        <f>[1]!s_fa_salescashintoor(O14,O13)%</f>
        <v>1.1497999999999999</v>
      </c>
      <c r="P25" s="11">
        <f>[1]!s_fa_salescashintoor(P14,P13)%</f>
        <v>1.1252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40</v>
      </c>
      <c r="J26" s="11">
        <f>[1]!s_fa_grossprofitmargin(J14,J13)%</f>
        <v>0.112425</v>
      </c>
      <c r="K26" s="119"/>
      <c r="L26" s="11">
        <f>[1]!s_fa_grossprofitmargin(L14,L13)%</f>
        <v>0.147837</v>
      </c>
      <c r="M26" s="11">
        <f>[1]!s_fa_grossprofitmargin(M14,M13)%</f>
        <v>0.173567</v>
      </c>
      <c r="N26" s="11">
        <f>[1]!s_fa_grossprofitmargin(N14,N13)%</f>
        <v>0.123948</v>
      </c>
      <c r="O26" s="11">
        <f>[1]!s_fa_grossprofitmargin(O14,O13)%</f>
        <v>0.135404</v>
      </c>
      <c r="P26" s="11">
        <f>[1]!s_fa_grossprofitmargin(P14,P13)%</f>
        <v>8.8567999999999994E-2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41</v>
      </c>
      <c r="J27" s="68">
        <f>[1]!b_stm07_is(J14,60,J13,1)/100000000</f>
        <v>68.2</v>
      </c>
      <c r="K27" s="119"/>
      <c r="L27" s="68">
        <f>[1]!b_stm07_is(L14,60,L13,1)/100000000</f>
        <v>81.271924011199999</v>
      </c>
      <c r="M27" s="68">
        <f>[1]!b_stm07_is(M14,60,M13,1)/100000000</f>
        <v>86.374399999999994</v>
      </c>
      <c r="N27" s="68">
        <f>[1]!b_stm07_is(N14,60,N13,1)/100000000</f>
        <v>68.33</v>
      </c>
      <c r="O27" s="68">
        <f>[1]!b_stm07_is(O14,60,O13,1)/100000000</f>
        <v>38.817459999999997</v>
      </c>
      <c r="P27" s="68">
        <f>[1]!b_stm07_is(P14,60,P13,1)/100000000</f>
        <v>8.1638914711999995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42</v>
      </c>
      <c r="I28" s="54" t="s">
        <v>43</v>
      </c>
      <c r="J28" s="10">
        <f>[1]!s_fa_roe(J14,J13)%</f>
        <v>0.12667</v>
      </c>
      <c r="K28" s="119"/>
      <c r="L28" s="10">
        <f>[1]!s_fa_roe(L14,L13)%</f>
        <v>3.0325999999999999E-2</v>
      </c>
      <c r="M28" s="10">
        <f>[1]!s_fa_roe(M14,M13)%</f>
        <v>9.3424999999999994E-2</v>
      </c>
      <c r="N28" s="10">
        <f>[1]!s_fa_roe(N14,N13)%</f>
        <v>0.12749099999999999</v>
      </c>
      <c r="O28" s="10">
        <f>[1]!s_fa_roe(O14,O13)%</f>
        <v>5.8513999999999997E-2</v>
      </c>
      <c r="P28" s="10">
        <f>[1]!s_fa_roe(P14,P13)%</f>
        <v>0.17539200000000002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44</v>
      </c>
      <c r="J29" s="68">
        <f>[1]!b_stm07_cs(J14,39,J13,1)/100000000</f>
        <v>195.72</v>
      </c>
      <c r="K29" s="119"/>
      <c r="L29" s="68">
        <f>[1]!b_stm07_cs(L14,39,L13,1)/100000000</f>
        <v>634.00059784580003</v>
      </c>
      <c r="M29" s="68">
        <f>[1]!b_stm07_cs(M14,39,M13,1)/100000000</f>
        <v>263.89301</v>
      </c>
      <c r="N29" s="68">
        <f>[1]!b_stm07_cs(N14,39,N13,1)/100000000</f>
        <v>214.04</v>
      </c>
      <c r="O29" s="68">
        <f>[1]!b_stm07_cs(O14,39,O13,1)/100000000</f>
        <v>129.60133999999999</v>
      </c>
      <c r="P29" s="68">
        <f>[1]!b_stm07_cs(P14,39,P13,1)/100000000</f>
        <v>22.177279820500001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45</v>
      </c>
      <c r="J96" s="70">
        <f>[1]!b_stm07_bs(J14,75,J13,1)</f>
        <v>24959000000</v>
      </c>
      <c r="K96" s="70"/>
      <c r="L96" s="70">
        <f>[1]!b_stm07_bs(L14,75,L13,1)</f>
        <v>126061926985.17999</v>
      </c>
      <c r="M96" s="70">
        <f>[1]!b_stm07_bs(M14,75,M13,1)</f>
        <v>19483625000</v>
      </c>
      <c r="N96" s="70">
        <f>[1]!b_stm07_bs(N14,75,N13,1)</f>
        <v>20626000000</v>
      </c>
      <c r="O96" s="70">
        <f>[1]!b_stm07_bs(O14,75,O13,1)</f>
        <v>23906887000</v>
      </c>
      <c r="P96" s="70">
        <f>[1]!b_stm07_bs(P14,75,P13,1)</f>
        <v>2373330250.4299998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46</v>
      </c>
      <c r="J97" s="70">
        <f>[1]!b_stm07_bs(J14,82,J13,1)</f>
        <v>1084000000</v>
      </c>
      <c r="K97" s="70"/>
      <c r="L97" s="70">
        <f>[1]!b_stm07_bs(L14,82,L13,1)</f>
        <v>3760612862.3299999</v>
      </c>
      <c r="M97" s="70">
        <f>[1]!b_stm07_bs(M14,82,M13,1)</f>
        <v>610089000</v>
      </c>
      <c r="N97" s="70">
        <f>[1]!b_stm07_bs(N14,82,N13,1)</f>
        <v>740000000</v>
      </c>
      <c r="O97" s="70">
        <f>[1]!b_stm07_bs(O14,82,O13,1)</f>
        <v>777990000</v>
      </c>
      <c r="P97" s="70">
        <f>[1]!b_stm07_bs(P14,82,P13,1)</f>
        <v>28885347.199999999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47</v>
      </c>
      <c r="J98" s="70">
        <f>[1]!b_stm07_bs(J14,88,J13,1)</f>
        <v>15391000000</v>
      </c>
      <c r="K98" s="70"/>
      <c r="L98" s="70">
        <f>[1]!b_stm07_bs(L14,88,L13,1)</f>
        <v>55811347677.739998</v>
      </c>
      <c r="M98" s="70">
        <f>[1]!b_stm07_bs(M14,88,M13,1)</f>
        <v>14999650000</v>
      </c>
      <c r="N98" s="70">
        <f>[1]!b_stm07_bs(N14,88,N13,1)</f>
        <v>16785000000</v>
      </c>
      <c r="O98" s="70">
        <f>[1]!b_stm07_bs(O14,88,O13,1)</f>
        <v>17215378000</v>
      </c>
      <c r="P98" s="70">
        <f>[1]!b_stm07_bs(P14,88,P13,1)</f>
        <v>2607712620.3800001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48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1199450000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49</v>
      </c>
      <c r="J100" s="70">
        <f>[1]!b_stm07_bs(J14,94,J13,1)</f>
        <v>4924000000</v>
      </c>
      <c r="K100" s="70"/>
      <c r="L100" s="70">
        <f>[1]!b_stm07_bs(L14,94,L13,1)</f>
        <v>254821377818.37</v>
      </c>
      <c r="M100" s="70">
        <f>[1]!b_stm07_bs(M14,94,M13,1)</f>
        <v>7608289000</v>
      </c>
      <c r="N100" s="70">
        <f>[1]!b_stm07_bs(N14,94,N13,1)</f>
        <v>6023000000</v>
      </c>
      <c r="O100" s="70">
        <f>[1]!b_stm07_bs(O14,94,O13,1)</f>
        <v>28992986000</v>
      </c>
      <c r="P100" s="70">
        <f>[1]!b_stm07_bs(P14,94,P13,1)</f>
        <v>9935740514.7199993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50</v>
      </c>
      <c r="J101" s="70">
        <f>[1]!b_stm07_bs(J14,95,J13,1)</f>
        <v>19787000000</v>
      </c>
      <c r="K101" s="70"/>
      <c r="L101" s="70">
        <f>[1]!b_stm07_bs(L14,95,L13,1)</f>
        <v>133411406124.03999</v>
      </c>
      <c r="M101" s="70">
        <f>[1]!b_stm07_bs(M14,95,M13,1)</f>
        <v>14500000000</v>
      </c>
      <c r="N101" s="70">
        <f>[1]!b_stm07_bs(N14,95,N13,1)</f>
        <v>14696000000</v>
      </c>
      <c r="O101" s="70">
        <f>[1]!b_stm07_bs(O14,95,O13,1)</f>
        <v>10807249000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51</v>
      </c>
      <c r="J103" s="70">
        <f>[1]!b_stm07_bs(J14,141,J13,1)</f>
        <v>56518000000</v>
      </c>
      <c r="K103" s="70"/>
      <c r="L103" s="70">
        <f>[1]!b_stm07_bs(L14,141,L13,1)</f>
        <v>495434021934.12</v>
      </c>
      <c r="M103" s="70">
        <f>[1]!b_stm07_bs(M14,141,M13,1)</f>
        <v>94931830000</v>
      </c>
      <c r="N103" s="70">
        <f>[1]!b_stm07_bs(N14,141,N13,1)</f>
        <v>62165000000</v>
      </c>
      <c r="O103" s="70">
        <f>[1]!b_stm07_bs(O14,141,O13,1)</f>
        <v>73957319000</v>
      </c>
      <c r="P103" s="70">
        <f>[1]!b_stm07_bs(P14,141,P13,1)</f>
        <v>4966468279.3999996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18" t="s">
        <v>52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53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d19041802.IB</v>
      </c>
      <c r="L107" s="33">
        <f>B2</f>
        <v>43100</v>
      </c>
      <c r="M107" s="17"/>
    </row>
    <row r="108" spans="1:19" ht="12.75" customHeight="1" x14ac:dyDescent="0.25">
      <c r="A108" s="122" t="s">
        <v>54</v>
      </c>
      <c r="B108" s="113"/>
      <c r="C108" s="122" t="s">
        <v>55</v>
      </c>
      <c r="D108" s="119"/>
      <c r="E108" s="122" t="s">
        <v>56</v>
      </c>
      <c r="F108" s="119"/>
      <c r="G108" s="122" t="s">
        <v>57</v>
      </c>
      <c r="H108" s="119"/>
      <c r="I108" s="122" t="s">
        <v>58</v>
      </c>
      <c r="J108" s="119"/>
      <c r="L108" s="17"/>
      <c r="M108" s="17"/>
    </row>
    <row r="109" spans="1:19" ht="16.5" customHeight="1" x14ac:dyDescent="0.25">
      <c r="A109" s="54" t="s">
        <v>59</v>
      </c>
      <c r="B109" s="12">
        <f>M109/100</f>
        <v>0.75153000000000003</v>
      </c>
      <c r="C109" s="54" t="s">
        <v>35</v>
      </c>
      <c r="D109" s="71">
        <f>[1]!s_fa_current(A2,B2)</f>
        <v>0.22770000000000001</v>
      </c>
      <c r="E109" s="54" t="s">
        <v>39</v>
      </c>
      <c r="F109" s="72">
        <f>[1]!s_fa_salescashintoor(A2,B2)/100</f>
        <v>1.0649999999999999</v>
      </c>
      <c r="G109" s="54" t="s">
        <v>40</v>
      </c>
      <c r="H109" s="12">
        <f>S109/100</f>
        <v>0.112425</v>
      </c>
      <c r="I109" s="54"/>
      <c r="J109" s="16"/>
      <c r="K109" s="25"/>
      <c r="L109" s="34" t="s">
        <v>59</v>
      </c>
      <c r="M109" s="73">
        <f>[1]!s_fa_debttoassets(A2,B2)</f>
        <v>75.153000000000006</v>
      </c>
      <c r="N109" s="54" t="s">
        <v>35</v>
      </c>
      <c r="O109" s="35"/>
      <c r="P109" s="54" t="s">
        <v>39</v>
      </c>
      <c r="Q109" s="35"/>
      <c r="R109" s="54" t="s">
        <v>40</v>
      </c>
      <c r="S109" s="74">
        <f>[1]!s_fa_grossprofitmargin(A2,B2)</f>
        <v>11.2425</v>
      </c>
    </row>
    <row r="110" spans="1:19" ht="15.75" customHeight="1" x14ac:dyDescent="0.25">
      <c r="A110" s="54" t="s">
        <v>60</v>
      </c>
      <c r="B110" s="12">
        <f>M110/100</f>
        <v>8.0421999999999993E-2</v>
      </c>
      <c r="C110" s="54" t="s">
        <v>61</v>
      </c>
      <c r="D110" s="72">
        <f>[1]!s_fa_quick(A2,B2)</f>
        <v>0.20050000000000001</v>
      </c>
      <c r="E110" s="54" t="s">
        <v>62</v>
      </c>
      <c r="F110" s="71">
        <f>[1]!s_fa_arturn(A2,B2)</f>
        <v>42.793900000000001</v>
      </c>
      <c r="G110" s="54" t="s">
        <v>63</v>
      </c>
      <c r="H110" s="12">
        <f>S110/100</f>
        <v>7.1234000000000006E-2</v>
      </c>
      <c r="I110" s="54"/>
      <c r="J110" s="16"/>
      <c r="L110" s="54" t="s">
        <v>60</v>
      </c>
      <c r="M110" s="73">
        <f>[1]!s_fa_catoassets(A2,B2)</f>
        <v>8.0421999999999993</v>
      </c>
      <c r="N110" s="54" t="s">
        <v>61</v>
      </c>
      <c r="O110" s="35"/>
      <c r="P110" s="54" t="s">
        <v>62</v>
      </c>
      <c r="Q110" s="72"/>
      <c r="R110" s="54" t="s">
        <v>63</v>
      </c>
      <c r="S110" s="74">
        <f>[1]!s_fa_optogr(A2,B2)</f>
        <v>7.1234000000000002</v>
      </c>
    </row>
    <row r="111" spans="1:19" ht="15" customHeight="1" x14ac:dyDescent="0.25">
      <c r="A111" s="54" t="s">
        <v>64</v>
      </c>
      <c r="B111" s="12">
        <f>M111/100</f>
        <v>0.469885</v>
      </c>
      <c r="C111" s="54" t="s">
        <v>37</v>
      </c>
      <c r="D111" s="72">
        <f>[1]!s_fa_ebitdatodebt(A2,B2)</f>
        <v>0.15010000000000001</v>
      </c>
      <c r="E111" s="54" t="s">
        <v>65</v>
      </c>
      <c r="F111" s="71">
        <f>[1]!s_fa_invturn(A2,B2)</f>
        <v>40.7331</v>
      </c>
      <c r="G111" s="54" t="s">
        <v>43</v>
      </c>
      <c r="H111" s="12">
        <f>S111/100</f>
        <v>0.12667</v>
      </c>
      <c r="I111" s="54"/>
      <c r="J111" s="16"/>
      <c r="L111" s="54" t="s">
        <v>64</v>
      </c>
      <c r="M111" s="73">
        <f>[1]!s_fa_currentdebttodebt(A2,B2)</f>
        <v>46.988500000000002</v>
      </c>
      <c r="N111" s="54" t="s">
        <v>37</v>
      </c>
      <c r="O111" s="35"/>
      <c r="P111" s="54" t="s">
        <v>65</v>
      </c>
      <c r="Q111" s="35"/>
      <c r="R111" s="54" t="s">
        <v>43</v>
      </c>
      <c r="S111" s="74">
        <f>[1]!s_fa_roe(A2,B2)</f>
        <v>12.667</v>
      </c>
    </row>
    <row r="112" spans="1:19" ht="14.25" customHeight="1" x14ac:dyDescent="0.25">
      <c r="A112" s="54" t="s">
        <v>36</v>
      </c>
      <c r="B112" s="75">
        <f>(M116+M117+M118+M119+M120+M121)/M123</f>
        <v>1.1703351144768039</v>
      </c>
      <c r="C112" s="54" t="s">
        <v>66</v>
      </c>
      <c r="D112" s="72">
        <f>[1]!s_fa_ebittointerest(A2,B2)</f>
        <v>3.0246</v>
      </c>
      <c r="E112" s="54" t="s">
        <v>67</v>
      </c>
      <c r="F112" s="71">
        <f>[1]!s_fa_caturn(A2,B2)</f>
        <v>5.9519000000000002</v>
      </c>
      <c r="G112" s="54" t="s">
        <v>68</v>
      </c>
      <c r="H112" s="12">
        <f>S112/100</f>
        <v>5.3452E-2</v>
      </c>
      <c r="I112" s="54"/>
      <c r="J112" s="16"/>
      <c r="L112" s="54" t="s">
        <v>36</v>
      </c>
      <c r="M112" s="76"/>
      <c r="N112" s="54" t="s">
        <v>66</v>
      </c>
      <c r="O112" s="35"/>
      <c r="P112" s="54" t="s">
        <v>67</v>
      </c>
      <c r="Q112" s="35"/>
      <c r="R112" s="54" t="s">
        <v>68</v>
      </c>
      <c r="S112" s="74">
        <f>[1]!s_fa_roa2(A2,B2)</f>
        <v>5.3452000000000002</v>
      </c>
    </row>
    <row r="113" spans="1:21" x14ac:dyDescent="0.25">
      <c r="A113" s="30"/>
      <c r="B113" s="31"/>
      <c r="C113" s="30"/>
      <c r="D113" s="32"/>
      <c r="E113" s="30" t="s">
        <v>69</v>
      </c>
      <c r="F113" s="77">
        <f>[1]!s_fa_dupont_faturnover(A2,B2)</f>
        <v>0.46500000000000002</v>
      </c>
      <c r="G113" s="30"/>
      <c r="H113" s="31"/>
      <c r="I113" s="30"/>
      <c r="J113" s="31"/>
      <c r="L113" s="30"/>
      <c r="M113" s="36"/>
      <c r="N113" s="30"/>
      <c r="O113" s="32"/>
      <c r="P113" s="30" t="s">
        <v>69</v>
      </c>
      <c r="Q113" s="37"/>
      <c r="R113" s="30"/>
      <c r="S113" s="31"/>
    </row>
    <row r="114" spans="1:21" ht="13.5" customHeight="1" x14ac:dyDescent="0.25">
      <c r="A114" s="118" t="s">
        <v>70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71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72</v>
      </c>
      <c r="B116" s="113"/>
      <c r="C116" s="124" t="s">
        <v>73</v>
      </c>
      <c r="D116" s="119"/>
      <c r="E116" s="125" t="s">
        <v>74</v>
      </c>
      <c r="F116" s="119"/>
      <c r="G116" s="119"/>
      <c r="H116" s="119"/>
      <c r="I116" s="119"/>
      <c r="J116" s="119"/>
      <c r="L116" s="17" t="s">
        <v>45</v>
      </c>
      <c r="M116" s="70">
        <f>[1]!b_stm07_bs(K107,75,L107,1)</f>
        <v>24959000000</v>
      </c>
    </row>
    <row r="117" spans="1:21" ht="14.25" customHeight="1" x14ac:dyDescent="0.25">
      <c r="A117" s="54" t="s">
        <v>75</v>
      </c>
      <c r="B117" s="72">
        <f t="shared" ref="B117:B131" si="1">M127/100000000</f>
        <v>46.56</v>
      </c>
      <c r="C117" s="54" t="s">
        <v>76</v>
      </c>
      <c r="D117" s="75">
        <f t="shared" ref="D117:D125" si="2">O127/100000000</f>
        <v>1017.21</v>
      </c>
      <c r="E117" s="126" t="s">
        <v>77</v>
      </c>
      <c r="F117" s="119"/>
      <c r="G117" s="119"/>
      <c r="H117" s="127">
        <f t="shared" ref="H117:H131" si="3">S127/100000000</f>
        <v>1083.31</v>
      </c>
      <c r="I117" s="119"/>
      <c r="J117" s="119"/>
      <c r="L117" s="17" t="s">
        <v>46</v>
      </c>
      <c r="M117" s="70">
        <f>[1]!b_stm07_bs(K107,82,L107,1)</f>
        <v>1084000000</v>
      </c>
    </row>
    <row r="118" spans="1:21" ht="14.25" customHeight="1" x14ac:dyDescent="0.25">
      <c r="A118" s="54" t="s">
        <v>78</v>
      </c>
      <c r="B118" s="72">
        <f t="shared" si="1"/>
        <v>21.24</v>
      </c>
      <c r="C118" s="54" t="s">
        <v>79</v>
      </c>
      <c r="D118" s="75">
        <f t="shared" si="2"/>
        <v>1011.96</v>
      </c>
      <c r="E118" s="126" t="s">
        <v>80</v>
      </c>
      <c r="F118" s="119"/>
      <c r="G118" s="119"/>
      <c r="H118" s="127">
        <f t="shared" si="3"/>
        <v>108.88</v>
      </c>
      <c r="I118" s="119"/>
      <c r="J118" s="119"/>
      <c r="L118" s="17" t="s">
        <v>47</v>
      </c>
      <c r="M118" s="70">
        <f>[1]!b_stm07_bs(K107,88,L107,1)</f>
        <v>15391000000</v>
      </c>
    </row>
    <row r="119" spans="1:21" ht="14.25" customHeight="1" x14ac:dyDescent="0.25">
      <c r="A119" s="54" t="s">
        <v>81</v>
      </c>
      <c r="B119" s="72">
        <f t="shared" si="1"/>
        <v>46.74</v>
      </c>
      <c r="C119" s="54" t="s">
        <v>82</v>
      </c>
      <c r="D119" s="75">
        <f t="shared" si="2"/>
        <v>902.85</v>
      </c>
      <c r="E119" s="126" t="s">
        <v>83</v>
      </c>
      <c r="F119" s="119"/>
      <c r="G119" s="119"/>
      <c r="H119" s="128">
        <f t="shared" si="3"/>
        <v>1223.22</v>
      </c>
      <c r="I119" s="119"/>
      <c r="J119" s="119"/>
      <c r="L119" s="17" t="s">
        <v>48</v>
      </c>
      <c r="M119" s="70">
        <f>[1]!b_stm07_bs(K107,147,L107,1)</f>
        <v>0</v>
      </c>
    </row>
    <row r="120" spans="1:21" ht="14.25" customHeight="1" x14ac:dyDescent="0.25">
      <c r="A120" s="54" t="s">
        <v>84</v>
      </c>
      <c r="B120" s="72">
        <f t="shared" si="1"/>
        <v>1631.3</v>
      </c>
      <c r="C120" s="54" t="s">
        <v>85</v>
      </c>
      <c r="D120" s="75">
        <f t="shared" si="2"/>
        <v>57.53</v>
      </c>
      <c r="E120" s="126" t="s">
        <v>86</v>
      </c>
      <c r="F120" s="119"/>
      <c r="G120" s="119"/>
      <c r="H120" s="127">
        <f t="shared" si="3"/>
        <v>684.62</v>
      </c>
      <c r="I120" s="119"/>
      <c r="J120" s="119"/>
      <c r="L120" s="17" t="s">
        <v>49</v>
      </c>
      <c r="M120" s="70">
        <f>[1]!b_stm07_bs(K107,94,L107,1)</f>
        <v>4924000000</v>
      </c>
    </row>
    <row r="121" spans="1:21" ht="14.25" customHeight="1" x14ac:dyDescent="0.25">
      <c r="A121" s="54" t="s">
        <v>87</v>
      </c>
      <c r="B121" s="72">
        <f t="shared" si="1"/>
        <v>287.8</v>
      </c>
      <c r="C121" s="54" t="s">
        <v>88</v>
      </c>
      <c r="D121" s="75">
        <f t="shared" si="2"/>
        <v>31.43</v>
      </c>
      <c r="E121" s="126" t="s">
        <v>89</v>
      </c>
      <c r="F121" s="119"/>
      <c r="G121" s="119"/>
      <c r="H121" s="127">
        <f t="shared" si="3"/>
        <v>96.9</v>
      </c>
      <c r="I121" s="119"/>
      <c r="J121" s="119"/>
      <c r="L121" s="17" t="s">
        <v>50</v>
      </c>
      <c r="M121" s="70">
        <f>[1]!b_stm07_bs(K107,95,L107,1)</f>
        <v>19787000000</v>
      </c>
    </row>
    <row r="122" spans="1:21" ht="14.25" customHeight="1" x14ac:dyDescent="0.25">
      <c r="A122" s="54" t="s">
        <v>90</v>
      </c>
      <c r="B122" s="72">
        <f t="shared" si="1"/>
        <v>20.43</v>
      </c>
      <c r="C122" s="54" t="s">
        <v>91</v>
      </c>
      <c r="D122" s="75">
        <f t="shared" si="2"/>
        <v>12.61</v>
      </c>
      <c r="E122" s="126" t="s">
        <v>92</v>
      </c>
      <c r="F122" s="119"/>
      <c r="G122" s="119"/>
      <c r="H122" s="128">
        <f t="shared" si="3"/>
        <v>1027.5</v>
      </c>
      <c r="I122" s="119"/>
      <c r="J122" s="119"/>
      <c r="L122" s="17"/>
      <c r="M122" s="17"/>
    </row>
    <row r="123" spans="1:21" ht="14.25" customHeight="1" x14ac:dyDescent="0.25">
      <c r="A123" s="54" t="s">
        <v>93</v>
      </c>
      <c r="B123" s="78">
        <f t="shared" si="1"/>
        <v>2274.64</v>
      </c>
      <c r="C123" s="54" t="s">
        <v>94</v>
      </c>
      <c r="D123" s="75">
        <f t="shared" si="2"/>
        <v>72.459999999999994</v>
      </c>
      <c r="E123" s="126" t="s">
        <v>95</v>
      </c>
      <c r="F123" s="119"/>
      <c r="G123" s="119"/>
      <c r="H123" s="128">
        <f t="shared" si="3"/>
        <v>195.72</v>
      </c>
      <c r="I123" s="119"/>
      <c r="J123" s="119"/>
      <c r="L123" s="17" t="s">
        <v>51</v>
      </c>
      <c r="M123" s="70">
        <f>[1]!b_stm07_bs(K107,141,L107,1)</f>
        <v>56518000000</v>
      </c>
    </row>
    <row r="124" spans="1:21" ht="14.25" customHeight="1" x14ac:dyDescent="0.25">
      <c r="A124" s="54" t="s">
        <v>96</v>
      </c>
      <c r="B124" s="72">
        <f t="shared" si="1"/>
        <v>249.59</v>
      </c>
      <c r="C124" s="54" t="s">
        <v>97</v>
      </c>
      <c r="D124" s="75">
        <f t="shared" si="2"/>
        <v>86.2</v>
      </c>
      <c r="E124" s="126" t="s">
        <v>98</v>
      </c>
      <c r="F124" s="119"/>
      <c r="G124" s="119"/>
      <c r="H124" s="128">
        <f t="shared" si="3"/>
        <v>-213.12</v>
      </c>
      <c r="I124" s="119"/>
      <c r="J124" s="119"/>
      <c r="L124" s="17"/>
      <c r="M124" s="17"/>
    </row>
    <row r="125" spans="1:21" ht="27" customHeight="1" x14ac:dyDescent="0.25">
      <c r="A125" s="54" t="s">
        <v>99</v>
      </c>
      <c r="B125" s="72">
        <f t="shared" si="1"/>
        <v>153.91</v>
      </c>
      <c r="C125" s="54" t="s">
        <v>41</v>
      </c>
      <c r="D125" s="75">
        <f t="shared" si="2"/>
        <v>68.2</v>
      </c>
      <c r="E125" s="126" t="s">
        <v>100</v>
      </c>
      <c r="F125" s="119"/>
      <c r="G125" s="119"/>
      <c r="H125" s="127">
        <f t="shared" si="3"/>
        <v>0</v>
      </c>
      <c r="I125" s="119"/>
      <c r="J125" s="119"/>
      <c r="L125" s="17"/>
      <c r="M125" s="17"/>
    </row>
    <row r="126" spans="1:21" ht="16.5" customHeight="1" x14ac:dyDescent="0.25">
      <c r="A126" s="54" t="s">
        <v>101</v>
      </c>
      <c r="B126" s="72">
        <f t="shared" si="1"/>
        <v>0</v>
      </c>
      <c r="C126" s="54"/>
      <c r="D126" s="79"/>
      <c r="E126" s="126" t="s">
        <v>102</v>
      </c>
      <c r="F126" s="119"/>
      <c r="G126" s="119"/>
      <c r="H126" s="127">
        <f t="shared" si="3"/>
        <v>773.99</v>
      </c>
      <c r="I126" s="119"/>
      <c r="J126" s="119"/>
      <c r="L126" s="129" t="s">
        <v>72</v>
      </c>
      <c r="M126" s="119"/>
      <c r="N126" s="129" t="s">
        <v>73</v>
      </c>
      <c r="O126" s="119"/>
      <c r="P126" s="120" t="s">
        <v>74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103</v>
      </c>
      <c r="B127" s="72">
        <f t="shared" si="1"/>
        <v>49.24</v>
      </c>
      <c r="C127" s="54"/>
      <c r="D127" s="79"/>
      <c r="E127" s="126" t="s">
        <v>104</v>
      </c>
      <c r="F127" s="119"/>
      <c r="G127" s="119"/>
      <c r="H127" s="127">
        <f t="shared" si="3"/>
        <v>0</v>
      </c>
      <c r="I127" s="119"/>
      <c r="J127" s="119"/>
      <c r="L127" s="54" t="s">
        <v>75</v>
      </c>
      <c r="M127" s="74">
        <f>[1]!b_stm07_bs(K107,9,L107,1)</f>
        <v>4656000000</v>
      </c>
      <c r="N127" s="54" t="s">
        <v>76</v>
      </c>
      <c r="O127" s="74">
        <f>[1]!b_stm07_is(K107,83,L107,1)</f>
        <v>101721000000</v>
      </c>
      <c r="P127" s="126" t="s">
        <v>77</v>
      </c>
      <c r="Q127" s="119"/>
      <c r="R127" s="119"/>
      <c r="S127" s="131">
        <f>[1]!b_stm07_cs(K107,9,L107,1)</f>
        <v>108331000000</v>
      </c>
      <c r="T127" s="130"/>
      <c r="U127" s="130"/>
    </row>
    <row r="128" spans="1:21" ht="14.25" customHeight="1" x14ac:dyDescent="0.25">
      <c r="A128" s="54" t="s">
        <v>105</v>
      </c>
      <c r="B128" s="72">
        <f t="shared" si="1"/>
        <v>197.87</v>
      </c>
      <c r="C128" s="54"/>
      <c r="D128" s="79"/>
      <c r="E128" s="126" t="s">
        <v>106</v>
      </c>
      <c r="F128" s="119"/>
      <c r="G128" s="119"/>
      <c r="H128" s="128">
        <f t="shared" si="3"/>
        <v>773.99</v>
      </c>
      <c r="I128" s="119"/>
      <c r="J128" s="119"/>
      <c r="L128" s="54" t="s">
        <v>78</v>
      </c>
      <c r="M128" s="74">
        <f>[1]!b_stm07_bs(K107,12,L107,1)</f>
        <v>2124000000</v>
      </c>
      <c r="N128" s="54" t="s">
        <v>79</v>
      </c>
      <c r="O128" s="74">
        <f>[1]!b_stm07_is(K107,84,L107,1)</f>
        <v>101196000000</v>
      </c>
      <c r="P128" s="126" t="s">
        <v>80</v>
      </c>
      <c r="Q128" s="119"/>
      <c r="R128" s="119"/>
      <c r="S128" s="131">
        <f>[1]!b_stm07_cs(K107,11,L107,1)</f>
        <v>10888000000</v>
      </c>
      <c r="T128" s="130"/>
      <c r="U128" s="130"/>
    </row>
    <row r="129" spans="1:21" ht="14.25" customHeight="1" x14ac:dyDescent="0.25">
      <c r="A129" s="54" t="s">
        <v>107</v>
      </c>
      <c r="B129" s="78">
        <f t="shared" si="1"/>
        <v>1709.46</v>
      </c>
      <c r="C129" s="14"/>
      <c r="D129" s="13"/>
      <c r="E129" s="126" t="s">
        <v>108</v>
      </c>
      <c r="F129" s="119"/>
      <c r="G129" s="119"/>
      <c r="H129" s="127">
        <f t="shared" si="3"/>
        <v>576.29</v>
      </c>
      <c r="I129" s="119"/>
      <c r="J129" s="119"/>
      <c r="L129" s="54" t="s">
        <v>81</v>
      </c>
      <c r="M129" s="74">
        <f>[1]!b_stm07_bs(K107,13,L107,1)</f>
        <v>4674000000</v>
      </c>
      <c r="N129" s="54" t="s">
        <v>82</v>
      </c>
      <c r="O129" s="74">
        <f>[1]!b_stm07_is(K107,10,L107,1)</f>
        <v>90285000000</v>
      </c>
      <c r="P129" s="126" t="s">
        <v>83</v>
      </c>
      <c r="Q129" s="119"/>
      <c r="R129" s="119"/>
      <c r="S129" s="132">
        <f>[1]!b_stm07_cs(K107,25,L107,1)</f>
        <v>122322000000</v>
      </c>
      <c r="T129" s="130"/>
      <c r="U129" s="130"/>
    </row>
    <row r="130" spans="1:21" ht="14.25" customHeight="1" x14ac:dyDescent="0.25">
      <c r="A130" s="54" t="s">
        <v>109</v>
      </c>
      <c r="B130" s="78">
        <f t="shared" si="1"/>
        <v>565.17999999999995</v>
      </c>
      <c r="C130" s="14"/>
      <c r="D130" s="13"/>
      <c r="E130" s="126" t="s">
        <v>110</v>
      </c>
      <c r="F130" s="119"/>
      <c r="G130" s="119"/>
      <c r="H130" s="127">
        <f t="shared" si="3"/>
        <v>726.91</v>
      </c>
      <c r="I130" s="119"/>
      <c r="J130" s="119"/>
      <c r="L130" s="54" t="s">
        <v>84</v>
      </c>
      <c r="M130" s="74">
        <f>[1]!b_stm07_bs(K107,31,L107,1)</f>
        <v>163130000000</v>
      </c>
      <c r="N130" s="54" t="s">
        <v>85</v>
      </c>
      <c r="O130" s="74">
        <f>[1]!b_stm07_is(K107,12,L107,1)</f>
        <v>5753000000</v>
      </c>
      <c r="P130" s="126" t="s">
        <v>86</v>
      </c>
      <c r="Q130" s="119"/>
      <c r="R130" s="119"/>
      <c r="S130" s="131">
        <f>[1]!b_stm07_cs(K107,26,L107,1)</f>
        <v>68462000000</v>
      </c>
      <c r="T130" s="130"/>
      <c r="U130" s="130"/>
    </row>
    <row r="131" spans="1:21" ht="14.25" customHeight="1" x14ac:dyDescent="0.25">
      <c r="A131" s="15" t="s">
        <v>111</v>
      </c>
      <c r="B131" s="78">
        <f t="shared" si="1"/>
        <v>2274.64</v>
      </c>
      <c r="C131" s="14"/>
      <c r="D131" s="13"/>
      <c r="E131" s="126" t="s">
        <v>112</v>
      </c>
      <c r="F131" s="119"/>
      <c r="G131" s="119"/>
      <c r="H131" s="128">
        <f t="shared" si="3"/>
        <v>47.08</v>
      </c>
      <c r="I131" s="119"/>
      <c r="J131" s="119"/>
      <c r="L131" s="54" t="s">
        <v>87</v>
      </c>
      <c r="M131" s="74">
        <f>[1]!b_stm07_bs(K107,33,L107,1)</f>
        <v>28780000000</v>
      </c>
      <c r="N131" s="54" t="s">
        <v>88</v>
      </c>
      <c r="O131" s="74">
        <f>[1]!b_stm07_is(K107,13,L107,1)</f>
        <v>3143000000</v>
      </c>
      <c r="P131" s="126" t="s">
        <v>89</v>
      </c>
      <c r="Q131" s="119"/>
      <c r="R131" s="119"/>
      <c r="S131" s="131">
        <f>[1]!b_stm07_cs(K107,29,L107,1)</f>
        <v>9690000000</v>
      </c>
      <c r="T131" s="130"/>
      <c r="U131" s="130"/>
    </row>
    <row r="132" spans="1:21" x14ac:dyDescent="0.25">
      <c r="L132" s="54" t="s">
        <v>90</v>
      </c>
      <c r="M132" s="74">
        <f>[1]!b_stm07_bs(K107,37,L107,1)</f>
        <v>2043000000</v>
      </c>
      <c r="N132" s="54" t="s">
        <v>91</v>
      </c>
      <c r="O132" s="74">
        <f>[1]!b_stm07_is(K107,14,L107,1)</f>
        <v>1261000000</v>
      </c>
      <c r="P132" s="126" t="s">
        <v>92</v>
      </c>
      <c r="Q132" s="119"/>
      <c r="R132" s="119"/>
      <c r="S132" s="132">
        <f>[1]!b_stm07_cs(K107,37,L107,1)</f>
        <v>102750000000</v>
      </c>
      <c r="T132" s="130"/>
      <c r="U132" s="130"/>
    </row>
    <row r="133" spans="1:21" x14ac:dyDescent="0.25">
      <c r="L133" s="54" t="s">
        <v>93</v>
      </c>
      <c r="M133" s="80">
        <f>[1]!b_stm07_bs(K107,74,L107,1)</f>
        <v>227464000000</v>
      </c>
      <c r="N133" s="54" t="s">
        <v>94</v>
      </c>
      <c r="O133" s="74">
        <f>[1]!b_stm07_is(K107,48,L107,1)</f>
        <v>7246000000</v>
      </c>
      <c r="P133" s="126" t="s">
        <v>95</v>
      </c>
      <c r="Q133" s="119"/>
      <c r="R133" s="119"/>
      <c r="S133" s="132">
        <f>[1]!b_stm07_cs(K107,39,L107,1)</f>
        <v>19572000000</v>
      </c>
      <c r="T133" s="130"/>
      <c r="U133" s="130"/>
    </row>
    <row r="134" spans="1:21" x14ac:dyDescent="0.25">
      <c r="L134" s="54" t="s">
        <v>96</v>
      </c>
      <c r="M134" s="74">
        <f>[1]!b_stm07_bs(K107,75,L107,1)</f>
        <v>24959000000</v>
      </c>
      <c r="N134" s="54" t="s">
        <v>97</v>
      </c>
      <c r="O134" s="74">
        <f>[1]!b_stm07_is(K107,55,L107,1)</f>
        <v>8620000000</v>
      </c>
      <c r="P134" s="126" t="s">
        <v>98</v>
      </c>
      <c r="Q134" s="119"/>
      <c r="R134" s="119"/>
      <c r="S134" s="132">
        <f>[1]!b_stm07_cs(K107,59,L107,1)</f>
        <v>-21312000000</v>
      </c>
      <c r="T134" s="130"/>
      <c r="U134" s="130"/>
    </row>
    <row r="135" spans="1:21" ht="32.4" customHeight="1" x14ac:dyDescent="0.25">
      <c r="L135" s="54" t="s">
        <v>99</v>
      </c>
      <c r="M135" s="74">
        <f>[1]!b_stm07_bs(K107,88,L107,1)</f>
        <v>15391000000</v>
      </c>
      <c r="N135" s="54" t="s">
        <v>41</v>
      </c>
      <c r="O135" s="74">
        <f>[1]!b_stm07_is(K107,60,L107,1)</f>
        <v>6820000000</v>
      </c>
      <c r="P135" s="126" t="s">
        <v>100</v>
      </c>
      <c r="Q135" s="119"/>
      <c r="R135" s="119"/>
      <c r="S135" s="131">
        <f>[1]!b_stm07_cs(K107,60,L107,1)</f>
        <v>0</v>
      </c>
      <c r="T135" s="130"/>
      <c r="U135" s="130"/>
    </row>
    <row r="136" spans="1:21" ht="21.6" customHeight="1" x14ac:dyDescent="0.25">
      <c r="L136" s="54" t="s">
        <v>101</v>
      </c>
      <c r="M136" s="74">
        <f>[1]!b_stm07_bs(K107,147,L107,1)</f>
        <v>0</v>
      </c>
      <c r="N136" s="54"/>
      <c r="O136" s="79"/>
      <c r="P136" s="126" t="s">
        <v>102</v>
      </c>
      <c r="Q136" s="119"/>
      <c r="R136" s="119"/>
      <c r="S136" s="131">
        <f>[1]!b_stm07_cs(K107,61,L107,1)</f>
        <v>77399000000</v>
      </c>
      <c r="T136" s="130"/>
      <c r="U136" s="130"/>
    </row>
    <row r="137" spans="1:21" x14ac:dyDescent="0.25">
      <c r="L137" s="54" t="s">
        <v>103</v>
      </c>
      <c r="M137" s="74">
        <f>[1]!b_stm07_bs(K107,94,L107,1)</f>
        <v>4924000000</v>
      </c>
      <c r="N137" s="54"/>
      <c r="O137" s="79"/>
      <c r="P137" s="126" t="s">
        <v>104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105</v>
      </c>
      <c r="M138" s="74">
        <f>[1]!b_stm07_bs(K107,95,L107,1)</f>
        <v>19787000000</v>
      </c>
      <c r="N138" s="54"/>
      <c r="O138" s="79"/>
      <c r="P138" s="126" t="s">
        <v>106</v>
      </c>
      <c r="Q138" s="119"/>
      <c r="R138" s="119"/>
      <c r="S138" s="132">
        <f>[1]!b_stm07_cs(K107,68,L107,1)</f>
        <v>77399000000</v>
      </c>
      <c r="T138" s="130"/>
      <c r="U138" s="130"/>
    </row>
    <row r="139" spans="1:21" x14ac:dyDescent="0.25">
      <c r="L139" s="54" t="s">
        <v>107</v>
      </c>
      <c r="M139" s="80">
        <f>[1]!b_stm07_bs(K107,128,L107,1)</f>
        <v>170946000000</v>
      </c>
      <c r="N139" s="14"/>
      <c r="O139" s="13"/>
      <c r="P139" s="126" t="s">
        <v>108</v>
      </c>
      <c r="Q139" s="119"/>
      <c r="R139" s="119"/>
      <c r="S139" s="131">
        <f>[1]!b_stm07_cs(K107,69,L107,1)</f>
        <v>57629000000</v>
      </c>
      <c r="T139" s="130"/>
      <c r="U139" s="130"/>
    </row>
    <row r="140" spans="1:21" ht="21.6" customHeight="1" x14ac:dyDescent="0.25">
      <c r="L140" s="54" t="s">
        <v>109</v>
      </c>
      <c r="M140" s="80">
        <f>[1]!b_stm07_bs(K107,141,L107,1)</f>
        <v>56518000000</v>
      </c>
      <c r="N140" s="14"/>
      <c r="O140" s="13"/>
      <c r="P140" s="126" t="s">
        <v>110</v>
      </c>
      <c r="Q140" s="119"/>
      <c r="R140" s="119"/>
      <c r="S140" s="131">
        <f>[1]!b_stm07_cs(K107,75,L107,1)</f>
        <v>72691000000</v>
      </c>
      <c r="T140" s="130"/>
      <c r="U140" s="130"/>
    </row>
    <row r="141" spans="1:21" ht="21.6" customHeight="1" x14ac:dyDescent="0.25">
      <c r="L141" s="15" t="s">
        <v>111</v>
      </c>
      <c r="M141" s="80">
        <f>[1]!b_stm07_bs(K107,145,L107,1)</f>
        <v>227464000000</v>
      </c>
      <c r="N141" s="14"/>
      <c r="O141" s="13"/>
      <c r="P141" s="126" t="s">
        <v>112</v>
      </c>
      <c r="Q141" s="119"/>
      <c r="R141" s="119"/>
      <c r="S141" s="132">
        <f>[1]!b_stm07_cs(K107,77,L107,1)</f>
        <v>4708000000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376</v>
      </c>
      <c r="C2" s="115"/>
      <c r="D2" s="57" t="s">
        <v>3</v>
      </c>
      <c r="E2" s="114" t="s">
        <v>377</v>
      </c>
      <c r="F2" s="115"/>
      <c r="G2" s="115"/>
    </row>
    <row r="3" spans="1:12" ht="14.25" customHeight="1" x14ac:dyDescent="0.25">
      <c r="A3" s="57" t="s">
        <v>4</v>
      </c>
      <c r="B3" s="114" t="s">
        <v>378</v>
      </c>
      <c r="C3" s="115"/>
      <c r="D3" s="57" t="s">
        <v>5</v>
      </c>
      <c r="E3" s="114" t="s">
        <v>379</v>
      </c>
      <c r="F3" s="115"/>
      <c r="G3" s="115"/>
    </row>
    <row r="4" spans="1:12" ht="113.25" customHeight="1" x14ac:dyDescent="0.25">
      <c r="A4" s="57" t="s">
        <v>6</v>
      </c>
      <c r="B4" s="116" t="s">
        <v>380</v>
      </c>
      <c r="C4" s="115"/>
      <c r="D4" s="115"/>
      <c r="E4" s="115"/>
      <c r="F4" s="115"/>
      <c r="G4" s="115"/>
    </row>
    <row r="5" spans="1:12" ht="14.4" x14ac:dyDescent="0.25">
      <c r="A5" s="81" t="s">
        <v>113</v>
      </c>
      <c r="B5" s="135" t="s">
        <v>381</v>
      </c>
      <c r="C5" s="115"/>
      <c r="D5" s="115"/>
      <c r="E5" s="115"/>
      <c r="F5" s="136">
        <v>0.35060001373291017</v>
      </c>
      <c r="G5" s="115"/>
    </row>
    <row r="6" spans="1:12" ht="11.25" customHeight="1" x14ac:dyDescent="0.25">
      <c r="A6" s="81" t="s">
        <v>114</v>
      </c>
      <c r="B6" s="135" t="s">
        <v>382</v>
      </c>
      <c r="C6" s="115"/>
      <c r="D6" s="115"/>
      <c r="E6" s="115"/>
      <c r="F6" s="136">
        <v>0.28920000076293945</v>
      </c>
      <c r="G6" s="115"/>
    </row>
    <row r="7" spans="1:12" ht="11.25" customHeight="1" x14ac:dyDescent="0.25">
      <c r="A7" s="81" t="s">
        <v>115</v>
      </c>
      <c r="B7" s="135" t="s">
        <v>383</v>
      </c>
      <c r="C7" s="115"/>
      <c r="D7" s="115"/>
      <c r="E7" s="115"/>
      <c r="F7" s="136">
        <v>3.490000009536743E-2</v>
      </c>
      <c r="G7" s="115"/>
    </row>
    <row r="8" spans="1:12" ht="11.25" customHeight="1" x14ac:dyDescent="0.25">
      <c r="A8" s="81" t="s">
        <v>116</v>
      </c>
      <c r="B8" s="135" t="s">
        <v>384</v>
      </c>
      <c r="C8" s="115"/>
      <c r="D8" s="115"/>
      <c r="E8" s="115"/>
      <c r="F8" s="136">
        <v>3.2200000286102294E-2</v>
      </c>
      <c r="G8" s="115"/>
    </row>
    <row r="9" spans="1:12" ht="11.25" customHeight="1" x14ac:dyDescent="0.25">
      <c r="A9" s="81" t="s">
        <v>117</v>
      </c>
      <c r="B9" s="135" t="s">
        <v>385</v>
      </c>
      <c r="C9" s="115"/>
      <c r="D9" s="115"/>
      <c r="E9" s="115"/>
      <c r="F9" s="136">
        <v>3.2200000286102294E-2</v>
      </c>
      <c r="G9" s="115"/>
    </row>
    <row r="11" spans="1:12" ht="14.4" customHeight="1" x14ac:dyDescent="0.25">
      <c r="A11" s="137" t="s">
        <v>118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119</v>
      </c>
      <c r="B13" t="s">
        <v>120</v>
      </c>
      <c r="C13" t="s">
        <v>121</v>
      </c>
      <c r="D13" s="63">
        <v>2.6</v>
      </c>
      <c r="E13" s="63">
        <v>0.59726027397260273</v>
      </c>
      <c r="F13" s="64">
        <v>0</v>
      </c>
      <c r="G13" s="63">
        <v>20</v>
      </c>
    </row>
    <row r="14" spans="1:12" ht="14.4" customHeight="1" x14ac:dyDescent="0.25">
      <c r="A14" t="s">
        <v>122</v>
      </c>
      <c r="B14" t="s">
        <v>123</v>
      </c>
      <c r="C14" t="s">
        <v>124</v>
      </c>
      <c r="D14" s="63">
        <v>2.6</v>
      </c>
      <c r="E14" s="82">
        <v>0.63561643835616444</v>
      </c>
      <c r="F14">
        <v>0</v>
      </c>
      <c r="G14" s="63">
        <v>35</v>
      </c>
    </row>
    <row r="15" spans="1:12" ht="14.4" customHeight="1" x14ac:dyDescent="0.25">
      <c r="A15" t="s">
        <v>125</v>
      </c>
      <c r="B15" t="s">
        <v>126</v>
      </c>
      <c r="C15" t="s">
        <v>127</v>
      </c>
      <c r="D15" s="63">
        <v>2.2999999999999998</v>
      </c>
      <c r="E15" s="82">
        <v>0.39726027397260272</v>
      </c>
      <c r="F15">
        <v>0</v>
      </c>
      <c r="G15" s="63">
        <v>20</v>
      </c>
    </row>
    <row r="16" spans="1:12" ht="14.4" customHeight="1" x14ac:dyDescent="0.25">
      <c r="A16" t="s">
        <v>128</v>
      </c>
      <c r="B16" t="s">
        <v>129</v>
      </c>
      <c r="C16" t="s">
        <v>130</v>
      </c>
      <c r="D16" s="63">
        <v>3.7</v>
      </c>
      <c r="E16" s="82">
        <v>2.8852459016393444</v>
      </c>
      <c r="F16" t="s">
        <v>25</v>
      </c>
      <c r="G16" s="63">
        <v>30</v>
      </c>
    </row>
    <row r="17" spans="1:7" ht="14.4" customHeight="1" x14ac:dyDescent="0.25">
      <c r="A17" t="s">
        <v>131</v>
      </c>
      <c r="B17" t="s">
        <v>132</v>
      </c>
      <c r="C17" t="s">
        <v>133</v>
      </c>
      <c r="D17" s="63">
        <v>2.59</v>
      </c>
      <c r="E17" s="82">
        <v>0.27123287671232876</v>
      </c>
      <c r="F17">
        <v>0</v>
      </c>
      <c r="G17" s="63">
        <v>30</v>
      </c>
    </row>
    <row r="18" spans="1:7" ht="14.4" customHeight="1" x14ac:dyDescent="0.25">
      <c r="A18" t="s">
        <v>134</v>
      </c>
      <c r="B18" t="s">
        <v>135</v>
      </c>
      <c r="C18" t="s">
        <v>136</v>
      </c>
      <c r="D18" s="63">
        <v>2.8</v>
      </c>
      <c r="E18" s="82">
        <v>0.22191780821917809</v>
      </c>
      <c r="F18">
        <v>0</v>
      </c>
      <c r="G18" s="63">
        <v>30</v>
      </c>
    </row>
    <row r="19" spans="1:7" ht="14.4" customHeight="1" x14ac:dyDescent="0.25">
      <c r="A19" t="s">
        <v>137</v>
      </c>
      <c r="B19" t="s">
        <v>138</v>
      </c>
      <c r="C19" t="s">
        <v>139</v>
      </c>
      <c r="D19" s="63">
        <v>2.96</v>
      </c>
      <c r="E19" s="82">
        <v>0.15890410958904111</v>
      </c>
      <c r="F19">
        <v>0</v>
      </c>
      <c r="G19" s="63">
        <v>20</v>
      </c>
    </row>
    <row r="20" spans="1:7" ht="14.4" customHeight="1" x14ac:dyDescent="0.25">
      <c r="A20" t="s">
        <v>140</v>
      </c>
      <c r="B20" t="s">
        <v>141</v>
      </c>
      <c r="C20" t="s">
        <v>142</v>
      </c>
      <c r="D20" s="63">
        <v>2.99</v>
      </c>
      <c r="E20" s="82">
        <v>0.1095890410958904</v>
      </c>
      <c r="F20">
        <v>0</v>
      </c>
      <c r="G20" s="63">
        <v>25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63">
        <v>2.25</v>
      </c>
      <c r="E21" s="82">
        <v>0</v>
      </c>
      <c r="F21">
        <v>0</v>
      </c>
      <c r="G21" s="63">
        <v>10</v>
      </c>
    </row>
    <row r="22" spans="1:7" ht="14.4" customHeight="1" x14ac:dyDescent="0.25">
      <c r="A22" t="s">
        <v>146</v>
      </c>
      <c r="B22" t="s">
        <v>147</v>
      </c>
      <c r="C22" t="s">
        <v>148</v>
      </c>
      <c r="D22" s="63">
        <v>3.1</v>
      </c>
      <c r="E22" s="82">
        <v>1.643835616438356E-2</v>
      </c>
      <c r="F22">
        <v>0</v>
      </c>
      <c r="G22" s="63">
        <v>30</v>
      </c>
    </row>
    <row r="23" spans="1:7" ht="14.4" customHeight="1" x14ac:dyDescent="0.25">
      <c r="A23" t="s">
        <v>149</v>
      </c>
      <c r="B23" t="s">
        <v>150</v>
      </c>
      <c r="C23" t="s">
        <v>151</v>
      </c>
      <c r="D23" s="63">
        <v>2.4500000000000002</v>
      </c>
      <c r="E23" s="82">
        <v>0</v>
      </c>
      <c r="F23">
        <v>0</v>
      </c>
      <c r="G23" s="63">
        <v>30</v>
      </c>
    </row>
    <row r="24" spans="1:7" ht="14.4" customHeight="1" x14ac:dyDescent="0.25">
      <c r="A24" t="s">
        <v>152</v>
      </c>
      <c r="B24" t="s">
        <v>153</v>
      </c>
      <c r="C24" t="s">
        <v>154</v>
      </c>
      <c r="D24" s="63">
        <v>3.65</v>
      </c>
      <c r="E24" s="82">
        <v>0.11506849315068493</v>
      </c>
      <c r="F24">
        <v>0</v>
      </c>
      <c r="G24" s="63">
        <v>20</v>
      </c>
    </row>
    <row r="25" spans="1:7" ht="14.4" customHeight="1" x14ac:dyDescent="0.25">
      <c r="A25" t="s">
        <v>155</v>
      </c>
      <c r="B25" t="s">
        <v>156</v>
      </c>
      <c r="C25" t="s">
        <v>157</v>
      </c>
      <c r="D25" s="63">
        <v>3.2</v>
      </c>
      <c r="E25" s="82">
        <v>0</v>
      </c>
      <c r="F25">
        <v>0</v>
      </c>
      <c r="G25" s="63">
        <v>30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63">
        <v>3.95</v>
      </c>
      <c r="E26" s="82">
        <v>2.7397260273972603E-3</v>
      </c>
      <c r="F26">
        <v>0</v>
      </c>
      <c r="G26" s="63">
        <v>20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63">
        <v>3.65</v>
      </c>
      <c r="E27" s="82">
        <v>0</v>
      </c>
      <c r="F27">
        <v>0</v>
      </c>
      <c r="G27" s="63">
        <v>20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63">
        <v>4.2</v>
      </c>
      <c r="E28" s="82">
        <v>0</v>
      </c>
      <c r="F28">
        <v>0</v>
      </c>
      <c r="G28" s="63">
        <v>20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63">
        <v>3.99</v>
      </c>
      <c r="E29" s="82">
        <v>0</v>
      </c>
      <c r="F29">
        <v>0</v>
      </c>
      <c r="G29" s="63">
        <v>20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63">
        <v>3.6</v>
      </c>
      <c r="E30" s="82">
        <v>0</v>
      </c>
      <c r="F30">
        <v>0</v>
      </c>
      <c r="G30" s="63">
        <v>20</v>
      </c>
    </row>
    <row r="31" spans="1:7" ht="14.4" customHeight="1" x14ac:dyDescent="0.25">
      <c r="A31" t="s">
        <v>173</v>
      </c>
      <c r="B31" t="s">
        <v>171</v>
      </c>
      <c r="C31" t="s">
        <v>174</v>
      </c>
      <c r="D31" s="63">
        <v>4.2</v>
      </c>
      <c r="E31" s="82">
        <v>0</v>
      </c>
      <c r="F31">
        <v>0</v>
      </c>
      <c r="G31" s="63">
        <v>25</v>
      </c>
    </row>
    <row r="32" spans="1:7" ht="14.4" customHeight="1" x14ac:dyDescent="0.25">
      <c r="A32" t="s">
        <v>175</v>
      </c>
      <c r="B32" t="s">
        <v>176</v>
      </c>
      <c r="C32" t="s">
        <v>177</v>
      </c>
      <c r="D32" s="63">
        <v>3.6</v>
      </c>
      <c r="E32" s="82">
        <v>0</v>
      </c>
      <c r="F32">
        <v>0</v>
      </c>
      <c r="G32" s="63">
        <v>20</v>
      </c>
    </row>
    <row r="33" spans="1:7" ht="14.4" customHeight="1" x14ac:dyDescent="0.25">
      <c r="A33" t="s">
        <v>178</v>
      </c>
      <c r="B33" t="s">
        <v>179</v>
      </c>
      <c r="C33" t="s">
        <v>180</v>
      </c>
      <c r="D33" s="63">
        <v>4.2</v>
      </c>
      <c r="E33" s="82">
        <v>0</v>
      </c>
      <c r="F33">
        <v>0</v>
      </c>
      <c r="G33" s="63">
        <v>20</v>
      </c>
    </row>
    <row r="34" spans="1:7" ht="14.4" customHeight="1" x14ac:dyDescent="0.25">
      <c r="A34" t="s">
        <v>181</v>
      </c>
      <c r="B34" t="s">
        <v>182</v>
      </c>
      <c r="C34" t="s">
        <v>183</v>
      </c>
      <c r="D34" s="63">
        <v>4.25</v>
      </c>
      <c r="E34" s="82">
        <v>0</v>
      </c>
      <c r="F34">
        <v>0</v>
      </c>
      <c r="G34" s="63">
        <v>20</v>
      </c>
    </row>
    <row r="35" spans="1:7" ht="14.4" customHeight="1" x14ac:dyDescent="0.25">
      <c r="A35" t="s">
        <v>184</v>
      </c>
      <c r="B35" t="s">
        <v>185</v>
      </c>
      <c r="C35" t="s">
        <v>186</v>
      </c>
      <c r="D35" s="63">
        <v>4.25</v>
      </c>
      <c r="E35" s="82">
        <v>0</v>
      </c>
      <c r="F35">
        <v>0</v>
      </c>
      <c r="G35" s="63">
        <v>30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63">
        <v>4.16</v>
      </c>
      <c r="E36" s="82">
        <v>0</v>
      </c>
      <c r="F36">
        <v>0</v>
      </c>
      <c r="G36" s="63">
        <v>30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63">
        <v>4.0999999999999996</v>
      </c>
      <c r="E37" s="82">
        <v>0</v>
      </c>
      <c r="F37">
        <v>0</v>
      </c>
      <c r="G37" s="63">
        <v>60</v>
      </c>
    </row>
    <row r="38" spans="1:7" ht="14.4" customHeight="1" x14ac:dyDescent="0.25">
      <c r="A38" t="s">
        <v>193</v>
      </c>
      <c r="B38" t="s">
        <v>194</v>
      </c>
      <c r="C38" t="s">
        <v>195</v>
      </c>
      <c r="D38" s="63">
        <v>4.25</v>
      </c>
      <c r="E38" s="82">
        <v>0</v>
      </c>
      <c r="F38">
        <v>0</v>
      </c>
      <c r="G38" s="63">
        <v>30</v>
      </c>
    </row>
    <row r="39" spans="1:7" ht="14.4" customHeight="1" x14ac:dyDescent="0.25">
      <c r="A39" t="s">
        <v>196</v>
      </c>
      <c r="B39" t="s">
        <v>197</v>
      </c>
      <c r="C39" t="s">
        <v>198</v>
      </c>
      <c r="D39" s="63">
        <v>3.79</v>
      </c>
      <c r="E39" s="82">
        <v>0</v>
      </c>
      <c r="F39">
        <v>0</v>
      </c>
      <c r="G39" s="63">
        <v>30</v>
      </c>
    </row>
    <row r="40" spans="1:7" ht="14.4" customHeight="1" x14ac:dyDescent="0.25">
      <c r="A40" t="s">
        <v>199</v>
      </c>
      <c r="B40" t="s">
        <v>200</v>
      </c>
      <c r="C40" t="s">
        <v>201</v>
      </c>
      <c r="D40" s="63">
        <v>3.5</v>
      </c>
      <c r="E40" s="82">
        <v>0</v>
      </c>
      <c r="F40">
        <v>0</v>
      </c>
      <c r="G40" s="63">
        <v>30</v>
      </c>
    </row>
    <row r="41" spans="1:7" ht="14.4" customHeight="1" x14ac:dyDescent="0.25">
      <c r="A41" t="s">
        <v>202</v>
      </c>
      <c r="B41" t="s">
        <v>203</v>
      </c>
      <c r="C41" t="s">
        <v>204</v>
      </c>
      <c r="D41" s="63">
        <v>3.6</v>
      </c>
      <c r="E41" s="82">
        <v>0</v>
      </c>
      <c r="F41">
        <v>0</v>
      </c>
      <c r="G41" s="63">
        <v>20</v>
      </c>
    </row>
    <row r="42" spans="1:7" ht="14.4" customHeight="1" x14ac:dyDescent="0.25">
      <c r="A42" t="s">
        <v>205</v>
      </c>
      <c r="B42" t="s">
        <v>206</v>
      </c>
      <c r="C42" t="s">
        <v>207</v>
      </c>
      <c r="D42" s="63">
        <v>3</v>
      </c>
      <c r="E42" s="82">
        <v>0</v>
      </c>
      <c r="F42">
        <v>0</v>
      </c>
      <c r="G42" s="63">
        <v>20</v>
      </c>
    </row>
    <row r="43" spans="1:7" ht="14.4" customHeight="1" x14ac:dyDescent="0.25">
      <c r="A43" t="s">
        <v>208</v>
      </c>
      <c r="B43" t="s">
        <v>209</v>
      </c>
      <c r="C43" t="s">
        <v>210</v>
      </c>
      <c r="D43" s="63">
        <v>2.81</v>
      </c>
      <c r="E43" s="82">
        <v>0</v>
      </c>
      <c r="F43">
        <v>0</v>
      </c>
      <c r="G43" s="63">
        <v>20</v>
      </c>
    </row>
    <row r="44" spans="1:7" ht="14.4" customHeight="1" x14ac:dyDescent="0.25">
      <c r="A44" t="s">
        <v>211</v>
      </c>
      <c r="B44" t="s">
        <v>212</v>
      </c>
      <c r="C44" t="s">
        <v>213</v>
      </c>
      <c r="D44" s="63">
        <v>2.81</v>
      </c>
      <c r="E44" s="82">
        <v>0</v>
      </c>
      <c r="F44">
        <v>0</v>
      </c>
      <c r="G44" s="63">
        <v>20</v>
      </c>
    </row>
    <row r="45" spans="1:7" ht="14.4" customHeight="1" x14ac:dyDescent="0.25">
      <c r="A45" t="s">
        <v>214</v>
      </c>
      <c r="B45" t="s">
        <v>215</v>
      </c>
      <c r="C45" t="s">
        <v>216</v>
      </c>
      <c r="D45" s="63">
        <v>2.81</v>
      </c>
      <c r="E45" s="82">
        <v>0</v>
      </c>
      <c r="F45">
        <v>0</v>
      </c>
      <c r="G45" s="63">
        <v>20</v>
      </c>
    </row>
    <row r="46" spans="1:7" ht="14.4" customHeight="1" x14ac:dyDescent="0.25">
      <c r="A46" t="s">
        <v>217</v>
      </c>
      <c r="B46" t="s">
        <v>218</v>
      </c>
      <c r="C46" t="s">
        <v>219</v>
      </c>
      <c r="D46" s="63">
        <v>3.03</v>
      </c>
      <c r="E46" s="82">
        <v>7.5178082191780824</v>
      </c>
      <c r="F46" t="s">
        <v>25</v>
      </c>
      <c r="G46" s="63">
        <v>15</v>
      </c>
    </row>
    <row r="47" spans="1:7" ht="14.4" customHeight="1" x14ac:dyDescent="0.25">
      <c r="A47" t="s">
        <v>220</v>
      </c>
      <c r="B47" t="s">
        <v>218</v>
      </c>
      <c r="C47" t="s">
        <v>221</v>
      </c>
      <c r="D47" s="63">
        <v>3.3</v>
      </c>
      <c r="E47" s="82">
        <v>7.5178082191780824</v>
      </c>
      <c r="F47" t="s">
        <v>25</v>
      </c>
      <c r="G47" s="63">
        <v>15</v>
      </c>
    </row>
    <row r="48" spans="1:7" ht="14.4" customHeight="1" x14ac:dyDescent="0.25">
      <c r="A48" t="s">
        <v>222</v>
      </c>
      <c r="B48" t="s">
        <v>223</v>
      </c>
      <c r="C48" t="s">
        <v>224</v>
      </c>
      <c r="D48" s="63">
        <v>2.5</v>
      </c>
      <c r="E48" s="82">
        <v>0</v>
      </c>
      <c r="F48">
        <v>0</v>
      </c>
      <c r="G48" s="63">
        <v>30</v>
      </c>
    </row>
    <row r="49" spans="1:7" ht="14.4" customHeight="1" x14ac:dyDescent="0.25">
      <c r="A49" t="s">
        <v>225</v>
      </c>
      <c r="B49" t="s">
        <v>226</v>
      </c>
      <c r="C49" t="s">
        <v>227</v>
      </c>
      <c r="D49" s="63">
        <v>2.58</v>
      </c>
      <c r="E49" s="82">
        <v>0</v>
      </c>
      <c r="F49">
        <v>0</v>
      </c>
      <c r="G49" s="63">
        <v>30</v>
      </c>
    </row>
    <row r="50" spans="1:7" ht="14.4" customHeight="1" x14ac:dyDescent="0.25">
      <c r="A50" t="s">
        <v>228</v>
      </c>
      <c r="B50" t="s">
        <v>229</v>
      </c>
      <c r="C50" t="s">
        <v>230</v>
      </c>
      <c r="D50" s="63">
        <v>3</v>
      </c>
      <c r="E50" s="82">
        <v>0.25479452054794521</v>
      </c>
      <c r="F50" t="s">
        <v>25</v>
      </c>
      <c r="G50" s="63">
        <v>15</v>
      </c>
    </row>
    <row r="51" spans="1:7" ht="14.4" customHeight="1" x14ac:dyDescent="0.25">
      <c r="A51" t="s">
        <v>231</v>
      </c>
      <c r="B51" t="s">
        <v>232</v>
      </c>
      <c r="C51" t="s">
        <v>233</v>
      </c>
      <c r="D51" s="63">
        <v>3.39</v>
      </c>
      <c r="E51" s="82">
        <v>2.2383561643835614</v>
      </c>
      <c r="F51" t="s">
        <v>25</v>
      </c>
      <c r="G51" s="63">
        <v>40</v>
      </c>
    </row>
    <row r="52" spans="1:7" ht="14.4" customHeight="1" x14ac:dyDescent="0.25">
      <c r="A52" t="s">
        <v>234</v>
      </c>
      <c r="B52" t="s">
        <v>235</v>
      </c>
      <c r="C52" t="s">
        <v>236</v>
      </c>
      <c r="D52" s="63">
        <v>3.15</v>
      </c>
      <c r="E52" s="82">
        <v>0.15890410958904111</v>
      </c>
      <c r="F52" t="s">
        <v>25</v>
      </c>
      <c r="G52" s="63">
        <v>30</v>
      </c>
    </row>
    <row r="53" spans="1:7" ht="14.4" customHeight="1" x14ac:dyDescent="0.25">
      <c r="A53" t="s">
        <v>237</v>
      </c>
      <c r="B53" t="s">
        <v>238</v>
      </c>
      <c r="C53" t="s">
        <v>239</v>
      </c>
      <c r="D53" s="63">
        <v>2.8</v>
      </c>
      <c r="E53" s="82">
        <v>0</v>
      </c>
      <c r="F53">
        <v>0</v>
      </c>
      <c r="G53" s="63">
        <v>20</v>
      </c>
    </row>
    <row r="54" spans="1:7" ht="14.4" customHeight="1" x14ac:dyDescent="0.25">
      <c r="A54" t="s">
        <v>240</v>
      </c>
      <c r="B54" t="s">
        <v>241</v>
      </c>
      <c r="C54" t="s">
        <v>242</v>
      </c>
      <c r="D54" s="63">
        <v>2.65</v>
      </c>
      <c r="E54" s="82">
        <v>0</v>
      </c>
      <c r="F54">
        <v>0</v>
      </c>
      <c r="G54" s="63">
        <v>30</v>
      </c>
    </row>
    <row r="55" spans="1:7" ht="14.4" customHeight="1" x14ac:dyDescent="0.25">
      <c r="A55" t="s">
        <v>243</v>
      </c>
      <c r="B55" t="s">
        <v>244</v>
      </c>
      <c r="C55" t="s">
        <v>245</v>
      </c>
      <c r="D55" s="63">
        <v>2.8</v>
      </c>
      <c r="E55" s="82">
        <v>0</v>
      </c>
      <c r="F55">
        <v>0</v>
      </c>
      <c r="G55" s="63">
        <v>50</v>
      </c>
    </row>
    <row r="56" spans="1:7" ht="14.4" customHeight="1" x14ac:dyDescent="0.25">
      <c r="A56" t="s">
        <v>246</v>
      </c>
      <c r="B56" t="s">
        <v>247</v>
      </c>
      <c r="C56" t="s">
        <v>248</v>
      </c>
      <c r="D56" s="63">
        <v>2.79</v>
      </c>
      <c r="E56" s="82">
        <v>0</v>
      </c>
      <c r="F56">
        <v>0</v>
      </c>
      <c r="G56" s="63">
        <v>30</v>
      </c>
    </row>
    <row r="57" spans="1:7" ht="14.4" customHeight="1" x14ac:dyDescent="0.25">
      <c r="A57" t="s">
        <v>249</v>
      </c>
      <c r="B57" t="s">
        <v>250</v>
      </c>
      <c r="C57" t="s">
        <v>251</v>
      </c>
      <c r="D57" s="63">
        <v>2.7</v>
      </c>
      <c r="E57" s="82">
        <v>0</v>
      </c>
      <c r="F57">
        <v>0</v>
      </c>
      <c r="G57" s="63">
        <v>30</v>
      </c>
    </row>
    <row r="58" spans="1:7" ht="14.4" customHeight="1" x14ac:dyDescent="0.25">
      <c r="A58" t="s">
        <v>252</v>
      </c>
      <c r="B58" t="s">
        <v>253</v>
      </c>
      <c r="C58" t="s">
        <v>254</v>
      </c>
      <c r="D58" s="63">
        <v>2.8</v>
      </c>
      <c r="E58" s="82">
        <v>0</v>
      </c>
      <c r="F58">
        <v>0</v>
      </c>
      <c r="G58" s="63">
        <v>30</v>
      </c>
    </row>
    <row r="59" spans="1:7" ht="14.4" customHeight="1" x14ac:dyDescent="0.25">
      <c r="A59" t="s">
        <v>255</v>
      </c>
      <c r="B59" t="s">
        <v>256</v>
      </c>
      <c r="C59" t="s">
        <v>257</v>
      </c>
      <c r="D59" s="63">
        <v>2.5499999999999998</v>
      </c>
      <c r="E59" s="82">
        <v>0</v>
      </c>
      <c r="F59">
        <v>0</v>
      </c>
      <c r="G59" s="63">
        <v>30</v>
      </c>
    </row>
    <row r="60" spans="1:7" ht="14.4" customHeight="1" x14ac:dyDescent="0.25">
      <c r="A60" t="s">
        <v>258</v>
      </c>
      <c r="B60" t="s">
        <v>259</v>
      </c>
      <c r="C60" t="s">
        <v>260</v>
      </c>
      <c r="D60" s="63">
        <v>2.35</v>
      </c>
      <c r="E60" s="82">
        <v>0</v>
      </c>
      <c r="F60">
        <v>0</v>
      </c>
      <c r="G60" s="63">
        <v>30</v>
      </c>
    </row>
    <row r="61" spans="1:7" ht="14.4" customHeight="1" x14ac:dyDescent="0.25">
      <c r="A61" t="s">
        <v>261</v>
      </c>
      <c r="B61" t="s">
        <v>262</v>
      </c>
      <c r="C61" t="s">
        <v>263</v>
      </c>
      <c r="D61" s="63">
        <v>2.5</v>
      </c>
      <c r="E61" s="82">
        <v>0</v>
      </c>
      <c r="F61">
        <v>0</v>
      </c>
      <c r="G61" s="63">
        <v>30</v>
      </c>
    </row>
    <row r="62" spans="1:7" ht="14.4" customHeight="1" x14ac:dyDescent="0.25">
      <c r="A62" t="s">
        <v>264</v>
      </c>
      <c r="B62" t="s">
        <v>265</v>
      </c>
      <c r="C62" t="s">
        <v>266</v>
      </c>
      <c r="D62" s="63">
        <v>2.4</v>
      </c>
      <c r="E62" s="82">
        <v>0</v>
      </c>
      <c r="F62">
        <v>0</v>
      </c>
      <c r="G62" s="63">
        <v>30</v>
      </c>
    </row>
    <row r="63" spans="1:7" ht="14.4" customHeight="1" x14ac:dyDescent="0.25">
      <c r="A63" t="s">
        <v>267</v>
      </c>
      <c r="B63" t="s">
        <v>268</v>
      </c>
      <c r="C63" t="s">
        <v>269</v>
      </c>
      <c r="D63" s="63">
        <v>2.5</v>
      </c>
      <c r="E63" s="82">
        <v>0</v>
      </c>
      <c r="F63">
        <v>0</v>
      </c>
      <c r="G63" s="63">
        <v>20</v>
      </c>
    </row>
    <row r="64" spans="1:7" ht="14.4" customHeight="1" x14ac:dyDescent="0.25">
      <c r="A64" t="s">
        <v>270</v>
      </c>
      <c r="B64" t="s">
        <v>271</v>
      </c>
      <c r="C64" t="s">
        <v>272</v>
      </c>
      <c r="D64" s="63">
        <v>2.5</v>
      </c>
      <c r="E64" s="82">
        <v>0</v>
      </c>
      <c r="F64">
        <v>0</v>
      </c>
      <c r="G64" s="63">
        <v>25</v>
      </c>
    </row>
    <row r="65" spans="1:7" ht="14.4" customHeight="1" x14ac:dyDescent="0.25">
      <c r="A65" t="s">
        <v>273</v>
      </c>
      <c r="B65" t="s">
        <v>274</v>
      </c>
      <c r="C65" t="s">
        <v>275</v>
      </c>
      <c r="D65" s="63">
        <v>2.83</v>
      </c>
      <c r="E65" s="82">
        <v>0</v>
      </c>
      <c r="F65">
        <v>0</v>
      </c>
      <c r="G65" s="63">
        <v>10</v>
      </c>
    </row>
    <row r="66" spans="1:7" ht="14.4" customHeight="1" x14ac:dyDescent="0.25">
      <c r="A66" t="s">
        <v>276</v>
      </c>
      <c r="B66" t="s">
        <v>277</v>
      </c>
      <c r="C66" t="s">
        <v>278</v>
      </c>
      <c r="D66" s="63">
        <v>2.87</v>
      </c>
      <c r="E66" s="82">
        <v>0</v>
      </c>
      <c r="F66">
        <v>0</v>
      </c>
      <c r="G66" s="63">
        <v>30</v>
      </c>
    </row>
    <row r="67" spans="1:7" ht="14.4" customHeight="1" x14ac:dyDescent="0.25">
      <c r="A67" t="s">
        <v>279</v>
      </c>
      <c r="B67" t="s">
        <v>280</v>
      </c>
      <c r="C67" t="s">
        <v>281</v>
      </c>
      <c r="D67" s="63">
        <v>3</v>
      </c>
      <c r="E67" s="82">
        <v>0</v>
      </c>
      <c r="F67">
        <v>0</v>
      </c>
      <c r="G67" s="63">
        <v>20</v>
      </c>
    </row>
    <row r="68" spans="1:7" ht="14.4" customHeight="1" x14ac:dyDescent="0.25">
      <c r="A68" t="s">
        <v>282</v>
      </c>
      <c r="B68" t="s">
        <v>283</v>
      </c>
      <c r="C68" t="s">
        <v>284</v>
      </c>
      <c r="D68" s="63">
        <v>3.1</v>
      </c>
      <c r="E68" s="82">
        <v>0</v>
      </c>
      <c r="F68">
        <v>0</v>
      </c>
      <c r="G68" s="63">
        <v>20</v>
      </c>
    </row>
    <row r="69" spans="1:7" ht="14.4" customHeight="1" x14ac:dyDescent="0.25">
      <c r="A69" t="s">
        <v>285</v>
      </c>
      <c r="B69" t="s">
        <v>286</v>
      </c>
      <c r="C69" t="s">
        <v>287</v>
      </c>
      <c r="D69" s="63">
        <v>3</v>
      </c>
      <c r="E69" s="82">
        <v>0</v>
      </c>
      <c r="F69">
        <v>0</v>
      </c>
      <c r="G69" s="63">
        <v>20</v>
      </c>
    </row>
    <row r="70" spans="1:7" ht="14.4" customHeight="1" x14ac:dyDescent="0.25">
      <c r="A70" t="s">
        <v>288</v>
      </c>
      <c r="B70" t="s">
        <v>289</v>
      </c>
      <c r="C70" t="s">
        <v>290</v>
      </c>
      <c r="D70" s="63">
        <v>3.3</v>
      </c>
      <c r="E70" s="82">
        <v>0</v>
      </c>
      <c r="F70">
        <v>0</v>
      </c>
      <c r="G70" s="63">
        <v>25</v>
      </c>
    </row>
    <row r="71" spans="1:7" ht="14.4" customHeight="1" x14ac:dyDescent="0.25">
      <c r="A71" t="s">
        <v>291</v>
      </c>
      <c r="B71" t="s">
        <v>292</v>
      </c>
      <c r="C71" t="s">
        <v>293</v>
      </c>
      <c r="D71" s="63">
        <v>3.5</v>
      </c>
      <c r="E71" s="82">
        <v>0</v>
      </c>
      <c r="F71">
        <v>0</v>
      </c>
      <c r="G71" s="63">
        <v>30</v>
      </c>
    </row>
    <row r="72" spans="1:7" ht="14.4" customHeight="1" x14ac:dyDescent="0.25">
      <c r="A72" t="s">
        <v>294</v>
      </c>
      <c r="B72" t="s">
        <v>295</v>
      </c>
      <c r="C72" t="s">
        <v>296</v>
      </c>
      <c r="D72" s="63">
        <v>4.5</v>
      </c>
      <c r="E72" s="82">
        <v>0</v>
      </c>
      <c r="F72">
        <v>0</v>
      </c>
      <c r="G72" s="63">
        <v>30</v>
      </c>
    </row>
    <row r="73" spans="1:7" ht="14.4" customHeight="1" x14ac:dyDescent="0.25">
      <c r="A73" t="s">
        <v>297</v>
      </c>
      <c r="B73" t="s">
        <v>298</v>
      </c>
      <c r="C73" t="s">
        <v>299</v>
      </c>
      <c r="D73" s="63">
        <v>4.5</v>
      </c>
      <c r="E73" s="82">
        <v>0</v>
      </c>
      <c r="F73">
        <v>0</v>
      </c>
      <c r="G73" s="63">
        <v>30</v>
      </c>
    </row>
    <row r="74" spans="1:7" ht="14.4" customHeight="1" x14ac:dyDescent="0.25">
      <c r="A74" t="s">
        <v>300</v>
      </c>
      <c r="B74" t="s">
        <v>301</v>
      </c>
      <c r="C74" t="s">
        <v>302</v>
      </c>
      <c r="D74" s="63">
        <v>4.95</v>
      </c>
      <c r="E74" s="82">
        <v>0</v>
      </c>
      <c r="F74" t="s">
        <v>386</v>
      </c>
      <c r="G74" s="63">
        <v>40</v>
      </c>
    </row>
    <row r="75" spans="1:7" ht="14.4" customHeight="1" x14ac:dyDescent="0.25">
      <c r="A75" t="s">
        <v>303</v>
      </c>
      <c r="B75" t="s">
        <v>304</v>
      </c>
      <c r="C75" t="s">
        <v>305</v>
      </c>
      <c r="D75" s="63">
        <v>3.95</v>
      </c>
      <c r="E75" s="82">
        <v>0</v>
      </c>
      <c r="F75">
        <v>0</v>
      </c>
      <c r="G75" s="63">
        <v>40</v>
      </c>
    </row>
    <row r="76" spans="1:7" ht="14.4" customHeight="1" x14ac:dyDescent="0.25">
      <c r="A76" t="s">
        <v>306</v>
      </c>
      <c r="B76" t="s">
        <v>307</v>
      </c>
      <c r="C76" t="s">
        <v>308</v>
      </c>
      <c r="D76" s="63">
        <v>5.05</v>
      </c>
      <c r="E76" s="82">
        <v>3.9153005464480874</v>
      </c>
      <c r="F76" t="s">
        <v>25</v>
      </c>
      <c r="G76" s="63">
        <v>48</v>
      </c>
    </row>
    <row r="77" spans="1:7" ht="14.4" customHeight="1" x14ac:dyDescent="0.25">
      <c r="A77" t="s">
        <v>309</v>
      </c>
      <c r="B77" t="s">
        <v>310</v>
      </c>
      <c r="C77" t="s">
        <v>311</v>
      </c>
      <c r="D77" s="63">
        <v>4.0999999999999996</v>
      </c>
      <c r="E77" s="82">
        <v>0</v>
      </c>
      <c r="F77" t="s">
        <v>386</v>
      </c>
      <c r="G77" s="63">
        <v>40</v>
      </c>
    </row>
    <row r="78" spans="1:7" ht="14.4" customHeight="1" x14ac:dyDescent="0.25">
      <c r="A78" t="s">
        <v>312</v>
      </c>
      <c r="B78" t="s">
        <v>313</v>
      </c>
      <c r="C78" t="s">
        <v>314</v>
      </c>
      <c r="D78" s="63"/>
      <c r="E78" s="82">
        <v>0</v>
      </c>
      <c r="F78" t="s">
        <v>386</v>
      </c>
      <c r="G78" s="63">
        <v>10</v>
      </c>
    </row>
    <row r="79" spans="1:7" ht="14.4" customHeight="1" x14ac:dyDescent="0.25">
      <c r="A79" t="s">
        <v>315</v>
      </c>
      <c r="B79" t="s">
        <v>313</v>
      </c>
      <c r="C79" t="s">
        <v>316</v>
      </c>
      <c r="D79" s="63"/>
      <c r="E79" s="82">
        <v>0</v>
      </c>
      <c r="F79" t="s">
        <v>386</v>
      </c>
      <c r="G79" s="63">
        <v>10</v>
      </c>
    </row>
    <row r="80" spans="1:7" ht="14.4" customHeight="1" x14ac:dyDescent="0.25">
      <c r="D80" s="63"/>
      <c r="E80" s="82"/>
      <c r="G80" s="63"/>
    </row>
    <row r="81" spans="1:7" ht="14.4" customHeight="1" x14ac:dyDescent="0.25">
      <c r="D81" s="63"/>
      <c r="E81" s="82"/>
      <c r="G81" s="63"/>
    </row>
    <row r="82" spans="1:7" ht="14.4" customHeight="1" x14ac:dyDescent="0.25">
      <c r="D82" s="63"/>
      <c r="E82" s="82"/>
      <c r="G82" s="63"/>
    </row>
    <row r="83" spans="1:7" ht="14.4" customHeight="1" x14ac:dyDescent="0.25">
      <c r="D83" s="63"/>
      <c r="E83" s="82"/>
      <c r="G83" s="63"/>
    </row>
    <row r="84" spans="1:7" ht="14.4" customHeight="1" x14ac:dyDescent="0.25">
      <c r="D84" s="63"/>
      <c r="E84" s="82"/>
      <c r="G84" s="63"/>
    </row>
    <row r="85" spans="1:7" ht="14.4" customHeight="1" x14ac:dyDescent="0.25">
      <c r="A85" s="138" t="s">
        <v>317</v>
      </c>
      <c r="B85" s="138"/>
      <c r="C85" s="138"/>
      <c r="D85" s="138"/>
      <c r="E85" s="82"/>
      <c r="G85" s="63"/>
    </row>
    <row r="86" spans="1:7" ht="14.4" customHeight="1" x14ac:dyDescent="0.25">
      <c r="A86" s="83" t="s">
        <v>318</v>
      </c>
      <c r="B86" s="83" t="s">
        <v>319</v>
      </c>
      <c r="C86" s="83" t="s">
        <v>320</v>
      </c>
      <c r="D86" s="84" t="s">
        <v>321</v>
      </c>
      <c r="E86" s="82"/>
      <c r="G86" s="63"/>
    </row>
    <row r="87" spans="1:7" ht="14.4" customHeight="1" x14ac:dyDescent="0.25">
      <c r="A87" t="s">
        <v>322</v>
      </c>
      <c r="B87" t="s">
        <v>25</v>
      </c>
      <c r="C87" t="s">
        <v>323</v>
      </c>
      <c r="D87" s="63" t="s">
        <v>324</v>
      </c>
      <c r="E87" s="82"/>
      <c r="G87" s="63"/>
    </row>
    <row r="88" spans="1:7" ht="14.4" customHeight="1" x14ac:dyDescent="0.25">
      <c r="A88" t="s">
        <v>325</v>
      </c>
      <c r="B88" t="s">
        <v>25</v>
      </c>
      <c r="C88" t="s">
        <v>323</v>
      </c>
      <c r="D88" s="63" t="s">
        <v>326</v>
      </c>
      <c r="E88" s="82"/>
      <c r="G88" s="63"/>
    </row>
    <row r="89" spans="1:7" ht="14.4" customHeight="1" x14ac:dyDescent="0.25">
      <c r="A89" t="s">
        <v>327</v>
      </c>
      <c r="B89" t="s">
        <v>25</v>
      </c>
      <c r="C89" t="s">
        <v>323</v>
      </c>
      <c r="D89" s="63" t="s">
        <v>326</v>
      </c>
      <c r="E89" s="82"/>
      <c r="G89" s="63"/>
    </row>
    <row r="90" spans="1:7" ht="14.4" customHeight="1" x14ac:dyDescent="0.25">
      <c r="A90" t="s">
        <v>328</v>
      </c>
      <c r="B90" t="s">
        <v>25</v>
      </c>
      <c r="C90" t="s">
        <v>323</v>
      </c>
      <c r="D90" s="63" t="s">
        <v>326</v>
      </c>
      <c r="E90" s="82"/>
      <c r="G90" s="63"/>
    </row>
    <row r="91" spans="1:7" ht="14.4" customHeight="1" x14ac:dyDescent="0.25">
      <c r="A91" t="s">
        <v>329</v>
      </c>
      <c r="B91" t="s">
        <v>25</v>
      </c>
      <c r="C91" t="s">
        <v>323</v>
      </c>
      <c r="D91" s="63" t="s">
        <v>326</v>
      </c>
      <c r="E91" s="82"/>
      <c r="G91" s="63"/>
    </row>
    <row r="92" spans="1:7" ht="14.4" customHeight="1" x14ac:dyDescent="0.25">
      <c r="A92" t="s">
        <v>330</v>
      </c>
      <c r="B92" t="s">
        <v>25</v>
      </c>
      <c r="C92" t="s">
        <v>323</v>
      </c>
      <c r="D92" s="63" t="s">
        <v>326</v>
      </c>
      <c r="E92" s="82"/>
      <c r="G92" s="63"/>
    </row>
    <row r="93" spans="1:7" ht="14.4" customHeight="1" x14ac:dyDescent="0.25">
      <c r="A93" t="s">
        <v>331</v>
      </c>
      <c r="B93" t="s">
        <v>25</v>
      </c>
      <c r="C93" t="s">
        <v>323</v>
      </c>
      <c r="D93" s="63" t="s">
        <v>326</v>
      </c>
      <c r="E93" s="82"/>
      <c r="G93" s="63"/>
    </row>
    <row r="94" spans="1:7" ht="14.4" customHeight="1" x14ac:dyDescent="0.25">
      <c r="A94" t="s">
        <v>292</v>
      </c>
      <c r="B94" t="s">
        <v>25</v>
      </c>
      <c r="C94" t="s">
        <v>323</v>
      </c>
      <c r="D94" s="63" t="s">
        <v>326</v>
      </c>
      <c r="E94" s="82"/>
      <c r="G94" s="63"/>
    </row>
    <row r="95" spans="1:7" ht="14.4" customHeight="1" x14ac:dyDescent="0.25">
      <c r="A95" t="s">
        <v>332</v>
      </c>
      <c r="B95" t="s">
        <v>25</v>
      </c>
      <c r="C95" t="s">
        <v>323</v>
      </c>
      <c r="D95" s="63" t="s">
        <v>326</v>
      </c>
      <c r="E95" s="82"/>
      <c r="G95" s="63"/>
    </row>
    <row r="96" spans="1:7" ht="14.4" customHeight="1" x14ac:dyDescent="0.25">
      <c r="A96" t="s">
        <v>333</v>
      </c>
      <c r="B96" t="s">
        <v>25</v>
      </c>
      <c r="C96" t="s">
        <v>323</v>
      </c>
      <c r="D96" s="63" t="s">
        <v>326</v>
      </c>
      <c r="E96" s="82"/>
      <c r="G96" s="63"/>
    </row>
    <row r="97" spans="1:7" ht="14.4" customHeight="1" x14ac:dyDescent="0.25">
      <c r="A97" t="s">
        <v>334</v>
      </c>
      <c r="B97" t="s">
        <v>25</v>
      </c>
      <c r="C97" t="s">
        <v>323</v>
      </c>
      <c r="D97" s="63" t="s">
        <v>326</v>
      </c>
      <c r="E97" s="82"/>
      <c r="G97" s="63"/>
    </row>
    <row r="98" spans="1:7" ht="14.4" customHeight="1" x14ac:dyDescent="0.25">
      <c r="A98" t="s">
        <v>335</v>
      </c>
      <c r="B98" t="s">
        <v>25</v>
      </c>
      <c r="C98" t="s">
        <v>323</v>
      </c>
      <c r="D98" s="63" t="s">
        <v>326</v>
      </c>
      <c r="E98" s="82"/>
      <c r="G98" s="63"/>
    </row>
    <row r="99" spans="1:7" ht="14.4" customHeight="1" x14ac:dyDescent="0.25">
      <c r="A99" t="s">
        <v>307</v>
      </c>
      <c r="B99" t="s">
        <v>25</v>
      </c>
      <c r="C99" t="s">
        <v>323</v>
      </c>
      <c r="D99" s="63" t="s">
        <v>326</v>
      </c>
      <c r="E99" s="82"/>
      <c r="G99" s="63"/>
    </row>
    <row r="100" spans="1:7" ht="14.4" customHeight="1" x14ac:dyDescent="0.25">
      <c r="A100" t="s">
        <v>336</v>
      </c>
      <c r="B100" t="s">
        <v>25</v>
      </c>
      <c r="C100" t="s">
        <v>323</v>
      </c>
      <c r="D100" s="63" t="s">
        <v>326</v>
      </c>
      <c r="E100" s="82"/>
      <c r="G100" s="63"/>
    </row>
    <row r="101" spans="1:7" ht="14.4" customHeight="1" x14ac:dyDescent="0.25">
      <c r="A101" t="s">
        <v>337</v>
      </c>
      <c r="B101" t="s">
        <v>25</v>
      </c>
      <c r="C101" t="s">
        <v>323</v>
      </c>
      <c r="D101" s="63" t="s">
        <v>326</v>
      </c>
      <c r="E101" s="82"/>
      <c r="G101" s="63"/>
    </row>
    <row r="102" spans="1:7" ht="14.4" customHeight="1" x14ac:dyDescent="0.25">
      <c r="D102" s="63"/>
      <c r="E102" s="82"/>
      <c r="G102" s="63"/>
    </row>
    <row r="103" spans="1:7" ht="14.4" customHeight="1" x14ac:dyDescent="0.25">
      <c r="D103" s="63"/>
      <c r="E103" s="82"/>
      <c r="G103" s="63"/>
    </row>
    <row r="104" spans="1:7" ht="14.4" customHeight="1" x14ac:dyDescent="0.25">
      <c r="D104" s="63"/>
      <c r="E104" s="82"/>
      <c r="G104" s="63"/>
    </row>
    <row r="105" spans="1:7" ht="14.4" customHeight="1" x14ac:dyDescent="0.25">
      <c r="D105" s="63"/>
      <c r="E105" s="82"/>
      <c r="G105" s="63"/>
    </row>
    <row r="106" spans="1:7" ht="14.4" customHeight="1" x14ac:dyDescent="0.25">
      <c r="D106" s="63"/>
      <c r="E106" s="82"/>
      <c r="G106" s="63"/>
    </row>
    <row r="107" spans="1:7" ht="14.4" customHeight="1" x14ac:dyDescent="0.25">
      <c r="D107" s="63"/>
      <c r="E107" s="82"/>
      <c r="G107" s="63"/>
    </row>
    <row r="108" spans="1:7" ht="14.4" customHeight="1" x14ac:dyDescent="0.25">
      <c r="D108" s="63"/>
      <c r="E108" s="82"/>
      <c r="G108" s="63"/>
    </row>
    <row r="109" spans="1:7" ht="14.4" customHeight="1" x14ac:dyDescent="0.25">
      <c r="D109" s="63"/>
      <c r="E109" s="82"/>
      <c r="G109" s="63"/>
    </row>
    <row r="110" spans="1:7" ht="14.4" customHeight="1" x14ac:dyDescent="0.25">
      <c r="D110" s="63"/>
      <c r="E110" s="82"/>
      <c r="G110" s="63"/>
    </row>
    <row r="111" spans="1:7" ht="14.4" customHeight="1" x14ac:dyDescent="0.25">
      <c r="D111" s="63"/>
      <c r="E111" s="82"/>
      <c r="G111" s="63"/>
    </row>
    <row r="112" spans="1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85:D85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52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53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54</v>
      </c>
      <c r="B3" s="115"/>
      <c r="C3" s="137" t="s">
        <v>55</v>
      </c>
      <c r="D3" s="115"/>
      <c r="E3" s="137" t="s">
        <v>56</v>
      </c>
      <c r="F3" s="115"/>
      <c r="G3" s="137" t="s">
        <v>57</v>
      </c>
      <c r="H3" s="115"/>
      <c r="I3" s="137" t="s">
        <v>58</v>
      </c>
      <c r="J3" s="115"/>
    </row>
    <row r="4" spans="1:10" ht="21.6" customHeight="1" x14ac:dyDescent="0.25">
      <c r="A4" s="57" t="s">
        <v>59</v>
      </c>
      <c r="B4" s="85">
        <v>0.75153000000000003</v>
      </c>
      <c r="C4" s="57" t="s">
        <v>35</v>
      </c>
      <c r="D4" s="86">
        <v>0.22770000000000001</v>
      </c>
      <c r="E4" s="57" t="s">
        <v>39</v>
      </c>
      <c r="F4" s="85">
        <v>1.0649999999999999</v>
      </c>
      <c r="G4" s="57" t="s">
        <v>40</v>
      </c>
      <c r="H4" s="85">
        <v>0.112425</v>
      </c>
      <c r="I4" s="57"/>
      <c r="J4" s="87"/>
    </row>
    <row r="5" spans="1:10" ht="15.75" customHeight="1" x14ac:dyDescent="0.25">
      <c r="A5" s="57" t="s">
        <v>60</v>
      </c>
      <c r="B5" s="85">
        <v>8.0421999999999993E-2</v>
      </c>
      <c r="C5" s="57" t="s">
        <v>61</v>
      </c>
      <c r="D5" s="86">
        <v>0.20050000000000001</v>
      </c>
      <c r="E5" s="57" t="s">
        <v>62</v>
      </c>
      <c r="F5" s="86">
        <v>42.793900000000001</v>
      </c>
      <c r="G5" s="57" t="s">
        <v>63</v>
      </c>
      <c r="H5" s="85">
        <v>7.1234000000000006E-2</v>
      </c>
      <c r="I5" s="57"/>
      <c r="J5" s="87"/>
    </row>
    <row r="6" spans="1:10" ht="15" customHeight="1" x14ac:dyDescent="0.25">
      <c r="A6" s="57" t="s">
        <v>64</v>
      </c>
      <c r="B6" s="85">
        <v>0.469885</v>
      </c>
      <c r="C6" s="57" t="s">
        <v>37</v>
      </c>
      <c r="D6" s="88">
        <v>0.15010000000000001</v>
      </c>
      <c r="E6" s="57" t="s">
        <v>65</v>
      </c>
      <c r="F6" s="86">
        <v>40.7331</v>
      </c>
      <c r="G6" s="57" t="s">
        <v>43</v>
      </c>
      <c r="H6" s="85">
        <v>0.12667</v>
      </c>
      <c r="I6" s="57"/>
      <c r="J6" s="87"/>
    </row>
    <row r="7" spans="1:10" ht="14.25" customHeight="1" x14ac:dyDescent="0.25">
      <c r="A7" s="57" t="s">
        <v>36</v>
      </c>
      <c r="B7" s="88">
        <v>1.1703351144768039</v>
      </c>
      <c r="C7" s="57" t="s">
        <v>66</v>
      </c>
      <c r="D7" s="88">
        <v>3.0246</v>
      </c>
      <c r="E7" s="57" t="s">
        <v>67</v>
      </c>
      <c r="F7" s="86">
        <v>5.9519000000000002</v>
      </c>
      <c r="G7" s="57" t="s">
        <v>68</v>
      </c>
      <c r="H7" s="85">
        <v>5.3452E-2</v>
      </c>
      <c r="I7" s="57"/>
      <c r="J7" s="87"/>
    </row>
    <row r="8" spans="1:10" x14ac:dyDescent="0.25">
      <c r="A8" s="57"/>
      <c r="B8" s="89"/>
      <c r="C8" s="57"/>
      <c r="D8" s="90"/>
      <c r="E8" s="57" t="s">
        <v>69</v>
      </c>
      <c r="F8" s="86">
        <v>0.46500000000000002</v>
      </c>
      <c r="G8" s="57"/>
      <c r="H8" s="89"/>
      <c r="I8" s="57"/>
      <c r="J8" s="89"/>
    </row>
    <row r="9" spans="1:10" ht="13.5" customHeight="1" x14ac:dyDescent="0.25">
      <c r="A9" s="139" t="s">
        <v>70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71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72</v>
      </c>
      <c r="B11" s="115"/>
      <c r="C11" s="137" t="s">
        <v>73</v>
      </c>
      <c r="D11" s="115"/>
      <c r="E11" s="137" t="s">
        <v>74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75</v>
      </c>
      <c r="B12" s="91">
        <v>46.56</v>
      </c>
      <c r="C12" s="57" t="s">
        <v>76</v>
      </c>
      <c r="D12" s="88">
        <v>1017.21</v>
      </c>
      <c r="E12" s="142" t="s">
        <v>77</v>
      </c>
      <c r="F12" s="115"/>
      <c r="G12" s="115"/>
      <c r="H12" s="143">
        <v>1083.31</v>
      </c>
      <c r="I12" s="115"/>
      <c r="J12" s="115"/>
    </row>
    <row r="13" spans="1:10" ht="14.25" customHeight="1" x14ac:dyDescent="0.25">
      <c r="A13" s="57" t="s">
        <v>78</v>
      </c>
      <c r="B13" s="91">
        <v>21.24</v>
      </c>
      <c r="C13" s="57" t="s">
        <v>79</v>
      </c>
      <c r="D13" s="88">
        <v>1011.96</v>
      </c>
      <c r="E13" s="142" t="s">
        <v>80</v>
      </c>
      <c r="F13" s="115"/>
      <c r="G13" s="115"/>
      <c r="H13" s="143">
        <v>108.88</v>
      </c>
      <c r="I13" s="115"/>
      <c r="J13" s="115"/>
    </row>
    <row r="14" spans="1:10" ht="14.25" customHeight="1" x14ac:dyDescent="0.25">
      <c r="A14" s="57" t="s">
        <v>81</v>
      </c>
      <c r="B14" s="91">
        <v>46.74</v>
      </c>
      <c r="C14" s="57" t="s">
        <v>82</v>
      </c>
      <c r="D14" s="88">
        <v>902.85</v>
      </c>
      <c r="E14" s="142" t="s">
        <v>83</v>
      </c>
      <c r="F14" s="115"/>
      <c r="G14" s="115"/>
      <c r="H14" s="143">
        <v>1223.22</v>
      </c>
      <c r="I14" s="115"/>
      <c r="J14" s="115"/>
    </row>
    <row r="15" spans="1:10" ht="14.25" customHeight="1" x14ac:dyDescent="0.25">
      <c r="A15" s="57" t="s">
        <v>84</v>
      </c>
      <c r="B15" s="91">
        <v>1631.3</v>
      </c>
      <c r="C15" s="57" t="s">
        <v>85</v>
      </c>
      <c r="D15" s="88">
        <v>57.53</v>
      </c>
      <c r="E15" s="142" t="s">
        <v>86</v>
      </c>
      <c r="F15" s="115"/>
      <c r="G15" s="115"/>
      <c r="H15" s="143">
        <v>684.62</v>
      </c>
      <c r="I15" s="115"/>
      <c r="J15" s="115"/>
    </row>
    <row r="16" spans="1:10" ht="14.25" customHeight="1" x14ac:dyDescent="0.25">
      <c r="A16" s="57" t="s">
        <v>87</v>
      </c>
      <c r="B16" s="91">
        <v>287.8</v>
      </c>
      <c r="C16" s="57" t="s">
        <v>88</v>
      </c>
      <c r="D16" s="88">
        <v>31.43</v>
      </c>
      <c r="E16" s="142" t="s">
        <v>89</v>
      </c>
      <c r="F16" s="115"/>
      <c r="G16" s="115"/>
      <c r="H16" s="143">
        <v>96.9</v>
      </c>
      <c r="I16" s="115"/>
      <c r="J16" s="115"/>
    </row>
    <row r="17" spans="1:10" ht="14.25" customHeight="1" x14ac:dyDescent="0.25">
      <c r="A17" s="57" t="s">
        <v>90</v>
      </c>
      <c r="B17" s="91">
        <v>20.43</v>
      </c>
      <c r="C17" s="57" t="s">
        <v>91</v>
      </c>
      <c r="D17" s="88">
        <v>12.61</v>
      </c>
      <c r="E17" s="142" t="s">
        <v>92</v>
      </c>
      <c r="F17" s="115"/>
      <c r="G17" s="115"/>
      <c r="H17" s="143">
        <v>1027.5</v>
      </c>
      <c r="I17" s="115"/>
      <c r="J17" s="115"/>
    </row>
    <row r="18" spans="1:10" ht="14.25" customHeight="1" x14ac:dyDescent="0.25">
      <c r="A18" s="57" t="s">
        <v>93</v>
      </c>
      <c r="B18" s="91">
        <v>2274.64</v>
      </c>
      <c r="C18" s="57" t="s">
        <v>94</v>
      </c>
      <c r="D18" s="88">
        <v>72.459999999999994</v>
      </c>
      <c r="E18" s="142" t="s">
        <v>95</v>
      </c>
      <c r="F18" s="115"/>
      <c r="G18" s="115"/>
      <c r="H18" s="143">
        <v>195.72</v>
      </c>
      <c r="I18" s="115"/>
      <c r="J18" s="115"/>
    </row>
    <row r="19" spans="1:10" ht="14.25" customHeight="1" x14ac:dyDescent="0.25">
      <c r="A19" s="57" t="s">
        <v>96</v>
      </c>
      <c r="B19" s="91">
        <v>249.59</v>
      </c>
      <c r="C19" s="57" t="s">
        <v>97</v>
      </c>
      <c r="D19" s="88">
        <v>86.2</v>
      </c>
      <c r="E19" s="142" t="s">
        <v>98</v>
      </c>
      <c r="F19" s="115"/>
      <c r="G19" s="115"/>
      <c r="H19" s="143">
        <v>-213.12</v>
      </c>
      <c r="I19" s="115"/>
      <c r="J19" s="115"/>
    </row>
    <row r="20" spans="1:10" ht="27" customHeight="1" x14ac:dyDescent="0.25">
      <c r="A20" s="57" t="s">
        <v>99</v>
      </c>
      <c r="B20" s="91">
        <v>153.91</v>
      </c>
      <c r="C20" s="57" t="s">
        <v>41</v>
      </c>
      <c r="D20" s="88">
        <v>68.2</v>
      </c>
      <c r="E20" s="142" t="s">
        <v>100</v>
      </c>
      <c r="F20" s="115"/>
      <c r="G20" s="115"/>
      <c r="H20" s="143">
        <v>0</v>
      </c>
      <c r="I20" s="115"/>
      <c r="J20" s="115"/>
    </row>
    <row r="21" spans="1:10" ht="16.5" customHeight="1" x14ac:dyDescent="0.25">
      <c r="A21" s="57" t="s">
        <v>101</v>
      </c>
      <c r="B21" s="91">
        <v>0</v>
      </c>
      <c r="C21" s="57"/>
      <c r="D21" s="92"/>
      <c r="E21" s="142" t="s">
        <v>102</v>
      </c>
      <c r="F21" s="115"/>
      <c r="G21" s="115"/>
      <c r="H21" s="143">
        <v>773.99</v>
      </c>
      <c r="I21" s="115"/>
      <c r="J21" s="115"/>
    </row>
    <row r="22" spans="1:10" ht="14.25" customHeight="1" x14ac:dyDescent="0.25">
      <c r="A22" s="57" t="s">
        <v>103</v>
      </c>
      <c r="B22" s="91">
        <v>49.24</v>
      </c>
      <c r="C22" s="57"/>
      <c r="D22" s="92"/>
      <c r="E22" s="142" t="s">
        <v>104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105</v>
      </c>
      <c r="B23" s="91">
        <v>197.87</v>
      </c>
      <c r="C23" s="57"/>
      <c r="D23" s="92"/>
      <c r="E23" s="142" t="s">
        <v>106</v>
      </c>
      <c r="F23" s="115"/>
      <c r="G23" s="115"/>
      <c r="H23" s="143">
        <v>773.99</v>
      </c>
      <c r="I23" s="115"/>
      <c r="J23" s="115"/>
    </row>
    <row r="24" spans="1:10" ht="14.25" customHeight="1" x14ac:dyDescent="0.25">
      <c r="A24" s="57" t="s">
        <v>107</v>
      </c>
      <c r="B24" s="91">
        <v>1709.46</v>
      </c>
      <c r="C24" s="93"/>
      <c r="D24" s="90"/>
      <c r="E24" s="142" t="s">
        <v>108</v>
      </c>
      <c r="F24" s="115"/>
      <c r="G24" s="115"/>
      <c r="H24" s="143">
        <v>576.29</v>
      </c>
      <c r="I24" s="115"/>
      <c r="J24" s="115"/>
    </row>
    <row r="25" spans="1:10" ht="14.25" customHeight="1" x14ac:dyDescent="0.25">
      <c r="A25" s="57" t="s">
        <v>109</v>
      </c>
      <c r="B25" s="91">
        <v>565.17999999999995</v>
      </c>
      <c r="C25" s="93"/>
      <c r="D25" s="90"/>
      <c r="E25" s="142" t="s">
        <v>110</v>
      </c>
      <c r="F25" s="115"/>
      <c r="G25" s="115"/>
      <c r="H25" s="143">
        <v>726.91</v>
      </c>
      <c r="I25" s="115"/>
      <c r="J25" s="115"/>
    </row>
    <row r="26" spans="1:10" ht="14.25" customHeight="1" x14ac:dyDescent="0.25">
      <c r="A26" s="94" t="s">
        <v>111</v>
      </c>
      <c r="B26" s="91">
        <v>2274.64</v>
      </c>
      <c r="C26" s="93"/>
      <c r="D26" s="90"/>
      <c r="E26" s="142" t="s">
        <v>112</v>
      </c>
      <c r="F26" s="115"/>
      <c r="G26" s="115"/>
      <c r="H26" s="143">
        <v>47.08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338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376</v>
      </c>
      <c r="C2" s="43" t="s">
        <v>339</v>
      </c>
      <c r="D2" s="43" t="s">
        <v>387</v>
      </c>
      <c r="E2" s="43" t="s">
        <v>388</v>
      </c>
      <c r="F2" s="43" t="s">
        <v>389</v>
      </c>
      <c r="G2" s="43" t="s">
        <v>390</v>
      </c>
      <c r="H2" s="43" t="s">
        <v>391</v>
      </c>
      <c r="I2" s="43" t="s">
        <v>392</v>
      </c>
      <c r="J2" s="43" t="s">
        <v>392</v>
      </c>
    </row>
    <row r="3" spans="1:10" x14ac:dyDescent="0.25">
      <c r="A3" s="54" t="s">
        <v>24</v>
      </c>
      <c r="B3" s="96" t="s">
        <v>25</v>
      </c>
      <c r="C3" s="97" t="s">
        <v>340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392</v>
      </c>
      <c r="J3" s="96" t="s">
        <v>392</v>
      </c>
    </row>
    <row r="4" spans="1:10" s="7" customFormat="1" ht="21.6" x14ac:dyDescent="0.25">
      <c r="A4" s="9" t="s">
        <v>3</v>
      </c>
      <c r="B4" s="98" t="s">
        <v>377</v>
      </c>
      <c r="C4" s="97" t="s">
        <v>340</v>
      </c>
      <c r="D4" s="98" t="s">
        <v>393</v>
      </c>
      <c r="E4" s="98" t="s">
        <v>377</v>
      </c>
      <c r="F4" s="98" t="s">
        <v>377</v>
      </c>
      <c r="G4" s="98" t="s">
        <v>393</v>
      </c>
      <c r="H4" s="98" t="s">
        <v>393</v>
      </c>
      <c r="I4" s="98" t="s">
        <v>392</v>
      </c>
      <c r="J4" s="98" t="s">
        <v>392</v>
      </c>
    </row>
    <row r="5" spans="1:10" s="7" customFormat="1" x14ac:dyDescent="0.25">
      <c r="A5" s="9" t="s">
        <v>29</v>
      </c>
      <c r="B5" s="99" t="s">
        <v>30</v>
      </c>
      <c r="C5" s="97" t="s">
        <v>340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392</v>
      </c>
      <c r="J5" s="99" t="s">
        <v>392</v>
      </c>
    </row>
    <row r="6" spans="1:10" x14ac:dyDescent="0.25">
      <c r="A6" s="54" t="s">
        <v>32</v>
      </c>
      <c r="B6" s="100">
        <v>2274.64</v>
      </c>
      <c r="C6" s="97">
        <v>3827.7571039182394</v>
      </c>
      <c r="D6" s="100">
        <v>12319.3629717354</v>
      </c>
      <c r="E6" s="100">
        <v>2357.1781599999999</v>
      </c>
      <c r="F6" s="100">
        <v>2183.29</v>
      </c>
      <c r="G6" s="100">
        <v>1973.4788799999999</v>
      </c>
      <c r="H6" s="100">
        <v>305.4755078558</v>
      </c>
      <c r="I6" s="100" t="s">
        <v>392</v>
      </c>
      <c r="J6" s="100" t="s">
        <v>392</v>
      </c>
    </row>
    <row r="7" spans="1:10" x14ac:dyDescent="0.25">
      <c r="A7" s="54" t="s">
        <v>34</v>
      </c>
      <c r="B7" s="44">
        <v>0.75153000000000003</v>
      </c>
      <c r="C7" s="97">
        <v>0.67460739999999997</v>
      </c>
      <c r="D7" s="44">
        <v>0.59784100000000007</v>
      </c>
      <c r="E7" s="44">
        <v>0.59726500000000005</v>
      </c>
      <c r="F7" s="44">
        <v>0.71526899999999993</v>
      </c>
      <c r="G7" s="44">
        <v>0.62524400000000002</v>
      </c>
      <c r="H7" s="44">
        <v>0.837418</v>
      </c>
      <c r="I7" s="44" t="s">
        <v>392</v>
      </c>
      <c r="J7" s="44" t="s">
        <v>392</v>
      </c>
    </row>
    <row r="8" spans="1:10" x14ac:dyDescent="0.25">
      <c r="A8" s="54" t="s">
        <v>35</v>
      </c>
      <c r="B8" s="100">
        <v>0.22770000000000001</v>
      </c>
      <c r="C8" s="97">
        <v>0.57808000000000004</v>
      </c>
      <c r="D8" s="100">
        <v>1.4726999999999999</v>
      </c>
      <c r="E8" s="100">
        <v>0.2893</v>
      </c>
      <c r="F8" s="100">
        <v>0.25700000000000001</v>
      </c>
      <c r="G8" s="100">
        <v>0.63219999999999998</v>
      </c>
      <c r="H8" s="100">
        <v>0.2392</v>
      </c>
      <c r="I8" s="100" t="s">
        <v>392</v>
      </c>
      <c r="J8" s="100" t="s">
        <v>392</v>
      </c>
    </row>
    <row r="9" spans="1:10" x14ac:dyDescent="0.25">
      <c r="A9" s="54" t="s">
        <v>36</v>
      </c>
      <c r="B9" s="96">
        <v>1.1703351144768039</v>
      </c>
      <c r="C9" s="97">
        <v>1.3669019737506845</v>
      </c>
      <c r="D9" s="96">
        <v>1.1583109880652678</v>
      </c>
      <c r="E9" s="96">
        <v>0.61518989995241846</v>
      </c>
      <c r="F9" s="96">
        <v>0.9469958980133516</v>
      </c>
      <c r="G9" s="96">
        <v>1.1046978325431185</v>
      </c>
      <c r="H9" s="96">
        <v>3.0093152501792662</v>
      </c>
      <c r="I9" s="96" t="s">
        <v>392</v>
      </c>
      <c r="J9" s="96" t="s">
        <v>392</v>
      </c>
    </row>
    <row r="10" spans="1:10" ht="21.6" customHeight="1" x14ac:dyDescent="0.25">
      <c r="A10" s="54" t="s">
        <v>37</v>
      </c>
      <c r="B10" s="100">
        <v>0.15010000000000001</v>
      </c>
      <c r="C10" s="97">
        <v>0.13482</v>
      </c>
      <c r="D10" s="100">
        <v>7.6399999999999996E-2</v>
      </c>
      <c r="E10" s="100">
        <v>0.19950000000000001</v>
      </c>
      <c r="F10" s="100">
        <v>0.15859999999999999</v>
      </c>
      <c r="G10" s="100">
        <v>0.1143</v>
      </c>
      <c r="H10" s="100">
        <v>0.12529999999999999</v>
      </c>
      <c r="I10" s="100" t="s">
        <v>392</v>
      </c>
      <c r="J10" s="100" t="s">
        <v>392</v>
      </c>
    </row>
    <row r="11" spans="1:10" x14ac:dyDescent="0.25">
      <c r="A11" s="54" t="s">
        <v>38</v>
      </c>
      <c r="B11" s="100">
        <v>1017.21</v>
      </c>
      <c r="C11" s="97">
        <v>1832.3430976870998</v>
      </c>
      <c r="D11" s="100">
        <v>5870.9932098408999</v>
      </c>
      <c r="E11" s="100">
        <v>1213.6289899999999</v>
      </c>
      <c r="F11" s="100">
        <v>1274.8900000000001</v>
      </c>
      <c r="G11" s="100">
        <v>599.03948000000003</v>
      </c>
      <c r="H11" s="100">
        <v>203.1638085946</v>
      </c>
      <c r="I11" s="100" t="s">
        <v>392</v>
      </c>
      <c r="J11" s="100" t="s">
        <v>392</v>
      </c>
    </row>
    <row r="12" spans="1:10" s="7" customFormat="1" x14ac:dyDescent="0.25">
      <c r="A12" s="9" t="s">
        <v>39</v>
      </c>
      <c r="B12" s="45">
        <v>1.0649999999999999</v>
      </c>
      <c r="C12" s="97">
        <v>1.08934</v>
      </c>
      <c r="D12" s="45">
        <v>1.0095000000000001</v>
      </c>
      <c r="E12" s="45">
        <v>1.0702</v>
      </c>
      <c r="F12" s="45">
        <v>1.0920000000000001</v>
      </c>
      <c r="G12" s="45">
        <v>1.1497999999999999</v>
      </c>
      <c r="H12" s="45">
        <v>1.1252</v>
      </c>
      <c r="I12" s="45" t="s">
        <v>392</v>
      </c>
      <c r="J12" s="45" t="s">
        <v>392</v>
      </c>
    </row>
    <row r="13" spans="1:10" s="7" customFormat="1" x14ac:dyDescent="0.25">
      <c r="A13" s="9" t="s">
        <v>40</v>
      </c>
      <c r="B13" s="45">
        <v>0.112425</v>
      </c>
      <c r="C13" s="97">
        <v>0.13386480000000001</v>
      </c>
      <c r="D13" s="45">
        <v>0.147837</v>
      </c>
      <c r="E13" s="45">
        <v>0.173567</v>
      </c>
      <c r="F13" s="45">
        <v>0.123948</v>
      </c>
      <c r="G13" s="45">
        <v>0.135404</v>
      </c>
      <c r="H13" s="45">
        <v>8.8567999999999994E-2</v>
      </c>
      <c r="I13" s="45" t="s">
        <v>392</v>
      </c>
      <c r="J13" s="45" t="s">
        <v>392</v>
      </c>
    </row>
    <row r="14" spans="1:10" s="7" customFormat="1" x14ac:dyDescent="0.25">
      <c r="A14" s="9" t="s">
        <v>41</v>
      </c>
      <c r="B14" s="101">
        <v>68.2</v>
      </c>
      <c r="C14" s="97">
        <v>56.591535096479994</v>
      </c>
      <c r="D14" s="101">
        <v>81.271924011199999</v>
      </c>
      <c r="E14" s="101">
        <v>86.374399999999994</v>
      </c>
      <c r="F14" s="101">
        <v>68.33</v>
      </c>
      <c r="G14" s="101">
        <v>38.817459999999997</v>
      </c>
      <c r="H14" s="101">
        <v>8.1638914711999995</v>
      </c>
      <c r="I14" s="101" t="s">
        <v>392</v>
      </c>
      <c r="J14" s="101" t="s">
        <v>392</v>
      </c>
    </row>
    <row r="15" spans="1:10" x14ac:dyDescent="0.25">
      <c r="A15" s="54" t="s">
        <v>43</v>
      </c>
      <c r="B15" s="44">
        <v>0.12667</v>
      </c>
      <c r="C15" s="97">
        <v>9.7029600000000008E-2</v>
      </c>
      <c r="D15" s="44">
        <v>3.0325999999999999E-2</v>
      </c>
      <c r="E15" s="44">
        <v>9.3424999999999994E-2</v>
      </c>
      <c r="F15" s="44">
        <v>0.12749099999999999</v>
      </c>
      <c r="G15" s="44">
        <v>5.8513999999999997E-2</v>
      </c>
      <c r="H15" s="44">
        <v>0.17539200000000002</v>
      </c>
      <c r="I15" s="44" t="s">
        <v>392</v>
      </c>
      <c r="J15" s="44" t="s">
        <v>392</v>
      </c>
    </row>
    <row r="16" spans="1:10" s="7" customFormat="1" ht="25.8" customHeight="1" x14ac:dyDescent="0.25">
      <c r="A16" s="9" t="s">
        <v>44</v>
      </c>
      <c r="B16" s="101">
        <v>195.72</v>
      </c>
      <c r="C16" s="97">
        <v>252.74244553325997</v>
      </c>
      <c r="D16" s="101">
        <v>634.00059784580003</v>
      </c>
      <c r="E16" s="101">
        <v>263.89301</v>
      </c>
      <c r="F16" s="101">
        <v>214.04</v>
      </c>
      <c r="G16" s="101">
        <v>129.60133999999999</v>
      </c>
      <c r="H16" s="101">
        <v>22.177279820500001</v>
      </c>
      <c r="I16" s="101" t="s">
        <v>392</v>
      </c>
      <c r="J16" s="101" t="s">
        <v>392</v>
      </c>
    </row>
    <row r="17" spans="1:10" x14ac:dyDescent="0.25">
      <c r="A17" s="54" t="s">
        <v>58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341</v>
      </c>
      <c r="B1" s="119"/>
      <c r="C1" s="119"/>
      <c r="D1" s="119"/>
      <c r="E1" s="119"/>
      <c r="F1" s="119"/>
    </row>
    <row r="2" spans="1:6" x14ac:dyDescent="0.25">
      <c r="A2" s="51" t="s">
        <v>342</v>
      </c>
      <c r="B2" s="50" t="s">
        <v>343</v>
      </c>
      <c r="C2" s="50" t="s">
        <v>344</v>
      </c>
      <c r="D2" s="50" t="s">
        <v>345</v>
      </c>
      <c r="E2" s="50" t="s">
        <v>321</v>
      </c>
      <c r="F2" s="50" t="s">
        <v>346</v>
      </c>
    </row>
    <row r="3" spans="1:6" ht="48" customHeight="1" x14ac:dyDescent="0.25">
      <c r="A3" s="53" t="s">
        <v>347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348</v>
      </c>
      <c r="B18" s="138"/>
      <c r="C18" s="138"/>
      <c r="D18" s="138"/>
      <c r="E18" s="138"/>
      <c r="F18" s="138"/>
    </row>
    <row r="19" spans="1:6" x14ac:dyDescent="0.25">
      <c r="A19" s="83" t="s">
        <v>342</v>
      </c>
      <c r="B19" s="83" t="s">
        <v>343</v>
      </c>
      <c r="C19" s="83" t="s">
        <v>349</v>
      </c>
      <c r="D19" s="83" t="s">
        <v>350</v>
      </c>
      <c r="E19" s="83" t="s">
        <v>321</v>
      </c>
      <c r="F19" s="83" t="s">
        <v>346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351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352</v>
      </c>
      <c r="B2" s="55" t="s">
        <v>353</v>
      </c>
      <c r="C2" s="55" t="s">
        <v>354</v>
      </c>
      <c r="D2" s="55" t="s">
        <v>355</v>
      </c>
      <c r="E2" s="55" t="s">
        <v>356</v>
      </c>
      <c r="F2" s="55" t="s">
        <v>357</v>
      </c>
      <c r="G2" s="55" t="s">
        <v>358</v>
      </c>
      <c r="H2" s="55" t="s">
        <v>16</v>
      </c>
      <c r="I2" s="55" t="s">
        <v>359</v>
      </c>
      <c r="J2" s="55" t="s">
        <v>360</v>
      </c>
      <c r="K2" s="55" t="s">
        <v>361</v>
      </c>
      <c r="L2" s="55" t="s">
        <v>362</v>
      </c>
      <c r="M2" s="55" t="s">
        <v>19</v>
      </c>
      <c r="N2" s="55" t="s">
        <v>363</v>
      </c>
      <c r="O2" s="3"/>
      <c r="P2" s="105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06" t="str">
        <f>[1]!b_info_name(L3)</f>
        <v>19东航股SCP006</v>
      </c>
      <c r="B3" s="2" t="str">
        <f>[1]!b_issue_firstissue(L3)</f>
        <v>2019-04-19</v>
      </c>
      <c r="C3" s="106">
        <f>[1]!b_info_term(L3)</f>
        <v>0.4904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364</v>
      </c>
      <c r="I3" s="65"/>
      <c r="J3" s="110" t="s">
        <v>364</v>
      </c>
      <c r="K3" s="111"/>
      <c r="L3" s="41" t="str">
        <f>公式页!A2</f>
        <v>d19041802.IB</v>
      </c>
      <c r="M3" s="109" t="s">
        <v>364</v>
      </c>
      <c r="N3" s="106" t="str">
        <f>[1]!b_agency_leadunderwriter(L3)</f>
        <v>上海浦东发展银行股份有限公司,兴业银行股份有限公司</v>
      </c>
      <c r="P3" s="104" t="str">
        <f t="shared" ref="P3:P29" ca="1" si="0">$P$2</f>
        <v>2019-04-17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3.7271000000000001</v>
      </c>
      <c r="K4" s="111">
        <f>K3</f>
        <v>0</v>
      </c>
      <c r="L4" s="4" t="s">
        <v>365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2019-04-17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2019-04-17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2019-04-17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2019-04-17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2019-04-17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2019-04-17</v>
      </c>
    </row>
    <row r="10" spans="1:18" x14ac:dyDescent="0.25">
      <c r="P10" s="104" t="str">
        <f t="shared" ca="1" si="0"/>
        <v>2019-04-17</v>
      </c>
    </row>
    <row r="11" spans="1:18" x14ac:dyDescent="0.25">
      <c r="P11" s="104" t="str">
        <f t="shared" ca="1" si="0"/>
        <v>2019-04-17</v>
      </c>
    </row>
    <row r="12" spans="1:18" x14ac:dyDescent="0.25">
      <c r="A12" s="145" t="s">
        <v>366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2019-04-17</v>
      </c>
    </row>
    <row r="13" spans="1:18" s="1" customFormat="1" ht="43.2" customHeight="1" x14ac:dyDescent="0.25">
      <c r="A13" s="55" t="s">
        <v>352</v>
      </c>
      <c r="B13" s="55" t="s">
        <v>353</v>
      </c>
      <c r="C13" s="55" t="s">
        <v>354</v>
      </c>
      <c r="D13" s="55" t="s">
        <v>355</v>
      </c>
      <c r="E13" s="55" t="s">
        <v>356</v>
      </c>
      <c r="F13" s="55" t="s">
        <v>357</v>
      </c>
      <c r="G13" s="55" t="s">
        <v>358</v>
      </c>
      <c r="H13" s="55" t="s">
        <v>16</v>
      </c>
      <c r="I13" s="55" t="s">
        <v>359</v>
      </c>
      <c r="J13" s="55" t="s">
        <v>360</v>
      </c>
      <c r="K13" s="55" t="s">
        <v>361</v>
      </c>
      <c r="L13" s="55" t="s">
        <v>362</v>
      </c>
      <c r="M13" s="55" t="s">
        <v>19</v>
      </c>
      <c r="N13" s="55" t="s">
        <v>363</v>
      </c>
      <c r="P13" s="104" t="str">
        <f t="shared" ca="1" si="0"/>
        <v>2019-04-17</v>
      </c>
    </row>
    <row r="14" spans="1:18" ht="15.75" customHeight="1" x14ac:dyDescent="0.25">
      <c r="A14" s="106" t="str">
        <f>[1]!b_info_name(L14)</f>
        <v>19东航股SCP006</v>
      </c>
      <c r="B14" s="2" t="str">
        <f>[1]!b_issue_firstissue(L14)</f>
        <v>2019-04-19</v>
      </c>
      <c r="C14" s="106">
        <f>[1]!b_info_term(L14)</f>
        <v>0.4904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364</v>
      </c>
      <c r="I14" s="65"/>
      <c r="J14" s="110" t="s">
        <v>364</v>
      </c>
      <c r="K14" s="111">
        <f>K3</f>
        <v>0</v>
      </c>
      <c r="L14" s="42" t="str">
        <f>L3</f>
        <v>d19041802.IB</v>
      </c>
      <c r="M14" s="109" t="s">
        <v>364</v>
      </c>
      <c r="N14" s="106" t="str">
        <f>[1]!b_agency_leadunderwriter(L14)</f>
        <v>上海浦东发展银行股份有限公司,兴业银行股份有限公司</v>
      </c>
      <c r="P14" s="104" t="str">
        <f t="shared" ca="1" si="0"/>
        <v>2019-04-17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367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2019-04-17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368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2019-04-17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369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2019-04-17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370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2019-04-17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371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2019-04-17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372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2019-04-17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373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2019-04-17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374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2019-04-17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375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2019-04-17</v>
      </c>
    </row>
    <row r="24" spans="1:16" x14ac:dyDescent="0.25">
      <c r="P24" s="104" t="str">
        <f t="shared" ca="1" si="0"/>
        <v>2019-04-17</v>
      </c>
    </row>
    <row r="25" spans="1:16" x14ac:dyDescent="0.25">
      <c r="P25" s="104" t="str">
        <f t="shared" ca="1" si="0"/>
        <v>2019-04-17</v>
      </c>
    </row>
    <row r="26" spans="1:16" x14ac:dyDescent="0.25">
      <c r="P26" s="104" t="str">
        <f t="shared" ca="1" si="0"/>
        <v>2019-04-17</v>
      </c>
    </row>
    <row r="27" spans="1:16" x14ac:dyDescent="0.25">
      <c r="P27" s="104" t="str">
        <f t="shared" ca="1" si="0"/>
        <v>2019-04-17</v>
      </c>
    </row>
    <row r="28" spans="1:16" x14ac:dyDescent="0.25">
      <c r="P28" s="104" t="str">
        <f t="shared" ca="1" si="0"/>
        <v>2019-04-17</v>
      </c>
    </row>
    <row r="29" spans="1:16" x14ac:dyDescent="0.25">
      <c r="P29" s="104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2019-04-18T07:45:07Z</dcterms:modified>
</cp:coreProperties>
</file>