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553F328A-5C5F-47B2-B51C-80EF3119123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O23" i="6"/>
  <c r="F21" i="6"/>
  <c r="C20" i="6"/>
  <c r="M17" i="6"/>
  <c r="G16" i="6"/>
  <c r="D15" i="6"/>
  <c r="C14" i="6"/>
  <c r="H9" i="6"/>
  <c r="F7" i="6"/>
  <c r="G6" i="6"/>
  <c r="H5" i="6"/>
  <c r="G3" i="6"/>
  <c r="H23" i="6"/>
  <c r="E22" i="6"/>
  <c r="B21" i="6"/>
  <c r="O19" i="6"/>
  <c r="F17" i="6"/>
  <c r="C16" i="6"/>
  <c r="D9" i="6"/>
  <c r="E8" i="6"/>
  <c r="B7" i="6"/>
  <c r="C6" i="6"/>
  <c r="D5" i="6"/>
  <c r="E4" i="6"/>
  <c r="C3" i="6"/>
  <c r="D23" i="6"/>
  <c r="A22" i="6"/>
  <c r="N20" i="6"/>
  <c r="H19" i="6"/>
  <c r="E18" i="6"/>
  <c r="B17" i="6"/>
  <c r="O15" i="6"/>
  <c r="N9" i="6"/>
  <c r="A8" i="6"/>
  <c r="M6" i="6"/>
  <c r="N5" i="6"/>
  <c r="A4"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C51" i="1"/>
  <c r="G49" i="1"/>
  <c r="E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B51" i="1"/>
  <c r="F49" i="1"/>
  <c r="D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E50" i="1"/>
  <c r="C49"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50" i="1"/>
  <c r="B49"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J22" i="1" l="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9" i="6"/>
  <c r="J22" i="6"/>
  <c r="J15" i="6"/>
  <c r="J23" i="6"/>
  <c r="J5" i="6"/>
  <c r="J18" i="6"/>
  <c r="J20" i="6"/>
  <c r="J6" i="6"/>
  <c r="J19" i="6"/>
  <c r="J21" i="6"/>
  <c r="J7" i="6"/>
  <c r="J16" i="6"/>
</calcChain>
</file>

<file path=xl/sharedStrings.xml><?xml version="1.0" encoding="utf-8"?>
<sst xmlns="http://schemas.openxmlformats.org/spreadsheetml/2006/main" count="882" uniqueCount="516">
  <si>
    <t>d19041602.IB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</si>
  <si>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</si>
  <si>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</si>
  <si>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</si>
  <si>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</si>
  <si>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</si>
  <si>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</si>
  <si>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</si>
  <si>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</si>
  <si>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</si>
  <si>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</si>
  <si>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</si>
  <si>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</si>
  <si>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</si>
  <si>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</si>
  <si>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</si>
  <si>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</si>
  <si>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</si>
  <si>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</si>
  <si>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</si>
  <si>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</si>
  <si>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</si>
  <si>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</si>
  <si>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101651002.IB</t>
  </si>
  <si>
    <t>主体级别</t>
  </si>
  <si>
    <t>AAA</t>
  </si>
  <si>
    <t>112188.SZ</t>
  </si>
  <si>
    <t>*选择性黏贴</t>
  </si>
  <si>
    <t>101453032.IB</t>
  </si>
  <si>
    <t>数据年度</t>
  </si>
  <si>
    <t>2017年</t>
  </si>
  <si>
    <t>1022002.IB</t>
  </si>
  <si>
    <t>总资产</t>
  </si>
  <si>
    <t>1422003.IB</t>
  </si>
  <si>
    <t>负债率</t>
  </si>
  <si>
    <t>1322006.IB</t>
  </si>
  <si>
    <t>流动比率</t>
  </si>
  <si>
    <t>101456061.IB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</si>
  <si>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</si>
  <si>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</si>
  <si>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</si>
  <si>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</si>
  <si>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</si>
  <si>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</si>
  <si>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</si>
  <si>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</si>
  <si>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</si>
  <si>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</si>
  <si>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</si>
  <si>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</si>
  <si>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</si>
  <si>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</si>
  <si>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</si>
  <si>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</si>
  <si>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</si>
  <si>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</si>
  <si>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</si>
  <si>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</si>
  <si>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</si>
  <si>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</si>
  <si>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</si>
  <si>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</si>
  <si>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</si>
  <si>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</si>
  <si>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</si>
  <si>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</si>
  <si>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</si>
  <si>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</si>
  <si>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</si>
  <si>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</si>
  <si>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</si>
  <si>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</si>
  <si>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</si>
  <si>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</si>
  <si>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</si>
  <si>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</si>
  <si>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</si>
  <si>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</si>
  <si>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</si>
  <si>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</si>
  <si>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</si>
  <si>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</si>
  <si>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</si>
  <si>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</si>
  <si>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</si>
  <si>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</si>
  <si>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</si>
  <si>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</si>
  <si>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</si>
  <si>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</si>
  <si>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</si>
  <si>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</si>
  <si>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</si>
  <si>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</si>
  <si>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</si>
  <si>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</si>
  <si>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</si>
  <si>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</si>
  <si>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</si>
  <si>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</si>
  <si>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</si>
  <si>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</si>
  <si>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</si>
  <si>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</si>
  <si>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</si>
  <si>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</si>
  <si>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</si>
  <si>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</si>
  <si>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</si>
  <si>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</si>
  <si>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</si>
  <si>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</si>
  <si>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</si>
  <si>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</si>
  <si>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</si>
  <si>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</si>
  <si>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</si>
  <si>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</si>
  <si>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</si>
  <si>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</si>
  <si>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</si>
  <si>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031900334.IB</t>
  </si>
  <si>
    <t>20190416</t>
  </si>
  <si>
    <t>19中航租赁PPN001</t>
  </si>
  <si>
    <t>101900482.IB</t>
  </si>
  <si>
    <t>20190408</t>
  </si>
  <si>
    <t>19中航租赁MTN001</t>
  </si>
  <si>
    <t>156880.SH</t>
  </si>
  <si>
    <t>20190313</t>
  </si>
  <si>
    <t>18中航2A</t>
  </si>
  <si>
    <t>156881.SH</t>
  </si>
  <si>
    <t>18中航2B</t>
  </si>
  <si>
    <t>156882.SH</t>
  </si>
  <si>
    <t>18中航2C</t>
  </si>
  <si>
    <t>156883.SH</t>
  </si>
  <si>
    <t>18中航次</t>
  </si>
  <si>
    <t>011900564.IB</t>
  </si>
  <si>
    <t>20190311</t>
  </si>
  <si>
    <t>19中航租赁SCP004</t>
  </si>
  <si>
    <t>041900089.IB</t>
  </si>
  <si>
    <t>20190306</t>
  </si>
  <si>
    <t>19中航租赁CP001</t>
  </si>
  <si>
    <t>011900334.IB</t>
  </si>
  <si>
    <t>20190129</t>
  </si>
  <si>
    <t>19中航租赁SCP003</t>
  </si>
  <si>
    <t>155167.SH</t>
  </si>
  <si>
    <t>20190121</t>
  </si>
  <si>
    <t>19航租01</t>
  </si>
  <si>
    <t>011900155.IB</t>
  </si>
  <si>
    <t>20190115</t>
  </si>
  <si>
    <t>19中航租赁SCP002</t>
  </si>
  <si>
    <t>011900037.IB</t>
  </si>
  <si>
    <t>20190107</t>
  </si>
  <si>
    <t>19中航租赁SCP001</t>
  </si>
  <si>
    <t>151009.SH</t>
  </si>
  <si>
    <t>20181212</t>
  </si>
  <si>
    <t>18中租06</t>
  </si>
  <si>
    <t>011802429.IB</t>
  </si>
  <si>
    <t>20181210</t>
  </si>
  <si>
    <t>18中航租赁SCP012</t>
  </si>
  <si>
    <t>031800711.IB</t>
  </si>
  <si>
    <t>20181128</t>
  </si>
  <si>
    <t>18中航租赁PPN007</t>
  </si>
  <si>
    <t>156199.SH</t>
  </si>
  <si>
    <t>20181122</t>
  </si>
  <si>
    <t>PR航租A1</t>
  </si>
  <si>
    <t>156200.SH</t>
  </si>
  <si>
    <t>18航租A2</t>
  </si>
  <si>
    <t>156201.SH</t>
  </si>
  <si>
    <t>18航租C</t>
  </si>
  <si>
    <t>136910.SH</t>
  </si>
  <si>
    <t>20181121</t>
  </si>
  <si>
    <t>18航租Y1</t>
  </si>
  <si>
    <t>081800202.IB</t>
  </si>
  <si>
    <t>20181116</t>
  </si>
  <si>
    <t>18中航租赁ABN001优先A</t>
  </si>
  <si>
    <t>081800203.IB</t>
  </si>
  <si>
    <t>18中航租赁ABN001优先B</t>
  </si>
  <si>
    <t>081800204.IB</t>
  </si>
  <si>
    <t>18中航租赁ABN001次</t>
  </si>
  <si>
    <t>031800651.IB</t>
  </si>
  <si>
    <t>20181112</t>
  </si>
  <si>
    <t>18中航租赁PPN006</t>
  </si>
  <si>
    <t>011802140.IB</t>
  </si>
  <si>
    <t>20181105</t>
  </si>
  <si>
    <t>18中航租赁SCP011</t>
  </si>
  <si>
    <t>031800592.IB</t>
  </si>
  <si>
    <t>20181016</t>
  </si>
  <si>
    <t>18中航租赁PPN005</t>
  </si>
  <si>
    <t>143846.SH</t>
  </si>
  <si>
    <t>20181011</t>
  </si>
  <si>
    <t>18航租02</t>
  </si>
  <si>
    <t>150715.SH</t>
  </si>
  <si>
    <t>20180926</t>
  </si>
  <si>
    <t>18中租05</t>
  </si>
  <si>
    <t>150607.SH</t>
  </si>
  <si>
    <t>20180813</t>
  </si>
  <si>
    <t>18中租04</t>
  </si>
  <si>
    <t>150575.SH</t>
  </si>
  <si>
    <t>20180730</t>
  </si>
  <si>
    <t>18中租03</t>
  </si>
  <si>
    <t>011801392.IB</t>
  </si>
  <si>
    <t>20180725</t>
  </si>
  <si>
    <t>18中航租赁SCP010</t>
  </si>
  <si>
    <t>031800411.IB</t>
  </si>
  <si>
    <t>20180720</t>
  </si>
  <si>
    <t>18中航租赁PPN004</t>
  </si>
  <si>
    <t>150561.SH</t>
  </si>
  <si>
    <t>20180718</t>
  </si>
  <si>
    <t>18中租01</t>
  </si>
  <si>
    <t>150562.SH</t>
  </si>
  <si>
    <t>18中租02</t>
  </si>
  <si>
    <t>011801301.IB</t>
  </si>
  <si>
    <t>20180712</t>
  </si>
  <si>
    <t>18中航租赁SCP009</t>
  </si>
  <si>
    <t>011801187.IB</t>
  </si>
  <si>
    <t>20180626</t>
  </si>
  <si>
    <t>18中航租赁SCP008</t>
  </si>
  <si>
    <t>011801088.IB</t>
  </si>
  <si>
    <t>20180612</t>
  </si>
  <si>
    <t>18中航租赁SCP007</t>
  </si>
  <si>
    <t>011801006.IB</t>
  </si>
  <si>
    <t>20180525</t>
  </si>
  <si>
    <t>18中航租赁SCP006</t>
  </si>
  <si>
    <t>011800975.IB</t>
  </si>
  <si>
    <t>20180522</t>
  </si>
  <si>
    <t>18中航租赁SCP005</t>
  </si>
  <si>
    <t>011800938.IB</t>
  </si>
  <si>
    <t>20180515</t>
  </si>
  <si>
    <t>18中航租赁SCP004</t>
  </si>
  <si>
    <t>011800927.IB</t>
  </si>
  <si>
    <t>20180511</t>
  </si>
  <si>
    <t>18中航租赁SCP003</t>
  </si>
  <si>
    <t>101800514.IB</t>
  </si>
  <si>
    <t>20180424</t>
  </si>
  <si>
    <t>18中航租赁MTN002</t>
  </si>
  <si>
    <t>041800161.IB</t>
  </si>
  <si>
    <t>20180419</t>
  </si>
  <si>
    <t>18中航租赁CP001</t>
  </si>
  <si>
    <t>031800150.IB</t>
  </si>
  <si>
    <t>20180319</t>
  </si>
  <si>
    <t>18中航租赁PPN003</t>
  </si>
  <si>
    <t>031800136.IB</t>
  </si>
  <si>
    <t>20180314</t>
  </si>
  <si>
    <t>18中航租赁PPN002</t>
  </si>
  <si>
    <t>011800380.IB</t>
  </si>
  <si>
    <t>20180308</t>
  </si>
  <si>
    <t>18中航租赁SCP002</t>
  </si>
  <si>
    <t>101800101.IB</t>
  </si>
  <si>
    <t>20180202</t>
  </si>
  <si>
    <t>18中航租赁MTN001BC</t>
  </si>
  <si>
    <t>011800133.IB</t>
  </si>
  <si>
    <t>20180123</t>
  </si>
  <si>
    <t>18中航租赁SCP001</t>
  </si>
  <si>
    <t>143449.SH</t>
  </si>
  <si>
    <t>20180115</t>
  </si>
  <si>
    <t>18航租01</t>
  </si>
  <si>
    <t>031800016.IB</t>
  </si>
  <si>
    <t>20180110</t>
  </si>
  <si>
    <t>18中航租赁PPN001</t>
  </si>
  <si>
    <t>031751016.IB</t>
  </si>
  <si>
    <t>20171222</t>
  </si>
  <si>
    <t>17中航租赁PPN007</t>
  </si>
  <si>
    <t>011757005.IB</t>
  </si>
  <si>
    <t>20171127</t>
  </si>
  <si>
    <t>17中航租赁SCP010</t>
  </si>
  <si>
    <t>041751027.IB</t>
  </si>
  <si>
    <t>20171122</t>
  </si>
  <si>
    <t>17中航租赁自贸区CP001</t>
  </si>
  <si>
    <t>143411.SH</t>
  </si>
  <si>
    <t>20171121</t>
  </si>
  <si>
    <t>17航租01</t>
  </si>
  <si>
    <t>041790001.IB</t>
  </si>
  <si>
    <t>20171103</t>
  </si>
  <si>
    <t>17中航租赁CP003</t>
  </si>
  <si>
    <t>031753020.IB</t>
  </si>
  <si>
    <t>20171023</t>
  </si>
  <si>
    <t>17中航租赁PPN006</t>
  </si>
  <si>
    <t>011751094.IB</t>
  </si>
  <si>
    <t>20170920</t>
  </si>
  <si>
    <t>17中航租赁SCP009</t>
  </si>
  <si>
    <t>031760037.IB</t>
  </si>
  <si>
    <t>20170907</t>
  </si>
  <si>
    <t>17中航租赁PPN005</t>
  </si>
  <si>
    <t>011755052.IB</t>
  </si>
  <si>
    <t>20170818</t>
  </si>
  <si>
    <t>17中航租赁SCP008</t>
  </si>
  <si>
    <t>101752026.IB</t>
  </si>
  <si>
    <t>20170802</t>
  </si>
  <si>
    <t>17中航租赁MTN001</t>
  </si>
  <si>
    <t>011751071.IB</t>
  </si>
  <si>
    <t>20170725</t>
  </si>
  <si>
    <t>17中航租赁SCP007</t>
  </si>
  <si>
    <t>011754112.IB</t>
  </si>
  <si>
    <t>20170718</t>
  </si>
  <si>
    <t>17中航租赁SCP006</t>
  </si>
  <si>
    <t>031755006.IB</t>
  </si>
  <si>
    <t>20170615</t>
  </si>
  <si>
    <t>17中航租赁PPN004</t>
  </si>
  <si>
    <t>011760068.IB</t>
  </si>
  <si>
    <t>20170607</t>
  </si>
  <si>
    <t>17中航租赁SCP005</t>
  </si>
  <si>
    <t>041751014.IB</t>
  </si>
  <si>
    <t>20170527</t>
  </si>
  <si>
    <t>17中航租赁CP002</t>
  </si>
  <si>
    <t>031754012.IB</t>
  </si>
  <si>
    <t>20170519</t>
  </si>
  <si>
    <t>17中航租赁PPN003</t>
  </si>
  <si>
    <t>031753011.IB</t>
  </si>
  <si>
    <t>20170517</t>
  </si>
  <si>
    <t>17中航租赁PPN002</t>
  </si>
  <si>
    <t>031760011.IB</t>
  </si>
  <si>
    <t>20170508</t>
  </si>
  <si>
    <t>17中航租赁PPN001</t>
  </si>
  <si>
    <t>041770002.IB</t>
  </si>
  <si>
    <t>20170426</t>
  </si>
  <si>
    <t>17中航租赁CP001</t>
  </si>
  <si>
    <t>011753029.IB</t>
  </si>
  <si>
    <t>20170424</t>
  </si>
  <si>
    <t>17中航租赁SCP004</t>
  </si>
  <si>
    <t>011757002.IB</t>
  </si>
  <si>
    <t>20170412</t>
  </si>
  <si>
    <t>17中航租赁SCP003</t>
  </si>
  <si>
    <t>011765001.IB</t>
  </si>
  <si>
    <t>20170323</t>
  </si>
  <si>
    <t>17中航租赁SCP002</t>
  </si>
  <si>
    <t>011756013.IB</t>
  </si>
  <si>
    <t>20170315</t>
  </si>
  <si>
    <t>17中航租赁SCP001</t>
  </si>
  <si>
    <t>011697013.IB</t>
  </si>
  <si>
    <t>20161212</t>
  </si>
  <si>
    <t>16中航租赁SCP008</t>
  </si>
  <si>
    <t>011698888.IB</t>
  </si>
  <si>
    <t>20161122</t>
  </si>
  <si>
    <t>16中航租赁SCP007</t>
  </si>
  <si>
    <t>031660072.IB</t>
  </si>
  <si>
    <t>20161116</t>
  </si>
  <si>
    <t>16中航租赁PPN007</t>
  </si>
  <si>
    <t>011698684.IB</t>
  </si>
  <si>
    <t>20161025</t>
  </si>
  <si>
    <t>16中航租赁SCP006</t>
  </si>
  <si>
    <t>101652040.IB</t>
  </si>
  <si>
    <t>20161019</t>
  </si>
  <si>
    <t>16中航租赁MTN001</t>
  </si>
  <si>
    <t>041664042.IB</t>
  </si>
  <si>
    <t>20160912</t>
  </si>
  <si>
    <t>16中航租赁CP002</t>
  </si>
  <si>
    <t>031660046.IB</t>
  </si>
  <si>
    <t>20160825</t>
  </si>
  <si>
    <t>16中航租赁PPN006</t>
  </si>
  <si>
    <t>041664036.IB</t>
  </si>
  <si>
    <t>20160822</t>
  </si>
  <si>
    <t>16中航租赁CP001</t>
  </si>
  <si>
    <t>011698217.IB</t>
  </si>
  <si>
    <t>20160805</t>
  </si>
  <si>
    <t>16中航租赁SCP005</t>
  </si>
  <si>
    <t>011698129.IB</t>
  </si>
  <si>
    <t>20160719</t>
  </si>
  <si>
    <t>16中航租赁SCP004</t>
  </si>
  <si>
    <t>011699983.IB</t>
  </si>
  <si>
    <t>20160620</t>
  </si>
  <si>
    <t>16中航租赁SCP003</t>
  </si>
  <si>
    <t>011699906.IB</t>
  </si>
  <si>
    <t>20160606</t>
  </si>
  <si>
    <t>16中航租赁SCP002</t>
  </si>
  <si>
    <t>031662019.IB</t>
  </si>
  <si>
    <t>20160530</t>
  </si>
  <si>
    <t>16中航租赁PPN005</t>
  </si>
  <si>
    <t>031660032.IB</t>
  </si>
  <si>
    <t>20160505</t>
  </si>
  <si>
    <t>16中航租赁PPN004</t>
  </si>
  <si>
    <t>011699698.IB</t>
  </si>
  <si>
    <t>20160426</t>
  </si>
  <si>
    <t>16中航租赁SCP001</t>
  </si>
  <si>
    <t>031654013.IB</t>
  </si>
  <si>
    <t>20160318</t>
  </si>
  <si>
    <t>16中航租赁PPN003</t>
  </si>
  <si>
    <t>031658006.IB</t>
  </si>
  <si>
    <t>20160218</t>
  </si>
  <si>
    <t>16中航租赁PPN002</t>
  </si>
  <si>
    <t>031658005.IB</t>
  </si>
  <si>
    <t>20160120</t>
  </si>
  <si>
    <t>16中航租赁PPN001</t>
  </si>
  <si>
    <t>031562052.IB</t>
  </si>
  <si>
    <t>20151210</t>
  </si>
  <si>
    <t>15中航租赁PPN008</t>
  </si>
  <si>
    <t>031554056.IB</t>
  </si>
  <si>
    <t>20151123</t>
  </si>
  <si>
    <t>15中航租赁PPN007</t>
  </si>
  <si>
    <t>041570006.IB</t>
  </si>
  <si>
    <t>20151111</t>
  </si>
  <si>
    <t>15中航租赁CP002</t>
  </si>
  <si>
    <t>031556026.IB</t>
  </si>
  <si>
    <t>20151020</t>
  </si>
  <si>
    <t>15中航租赁PPN006</t>
  </si>
  <si>
    <t>031560055.IB</t>
  </si>
  <si>
    <t>20150820</t>
  </si>
  <si>
    <t>15中航租赁PPN005</t>
  </si>
  <si>
    <t>031560048.IB</t>
  </si>
  <si>
    <t>20150810</t>
  </si>
  <si>
    <t>15中航租赁PPN004</t>
  </si>
  <si>
    <t>031556016.IB</t>
  </si>
  <si>
    <t>20150724</t>
  </si>
  <si>
    <t>15中航租赁PPN003</t>
  </si>
  <si>
    <t>031560040.IB</t>
  </si>
  <si>
    <t>20150708</t>
  </si>
  <si>
    <t>15中航租赁PPN002</t>
  </si>
  <si>
    <t>031556013.IB</t>
  </si>
  <si>
    <t>20150625</t>
  </si>
  <si>
    <t>15中航租赁PPN001</t>
  </si>
  <si>
    <t>101553012.IB</t>
  </si>
  <si>
    <t>20150609</t>
  </si>
  <si>
    <t>15中航租赁MTN001</t>
  </si>
  <si>
    <t>041564041.IB</t>
  </si>
  <si>
    <t>20150526</t>
  </si>
  <si>
    <t>15中航租赁CP001</t>
  </si>
  <si>
    <t>123542.SH</t>
  </si>
  <si>
    <t>20140821</t>
  </si>
  <si>
    <t>PR航租优</t>
  </si>
  <si>
    <t>123543.SH</t>
  </si>
  <si>
    <t>14航租次</t>
  </si>
  <si>
    <t>136911.SH</t>
  </si>
  <si>
    <t>18航租Y2</t>
  </si>
  <si>
    <t>历史主体评级</t>
  </si>
  <si>
    <t>发布日期</t>
  </si>
  <si>
    <t>主体资信级别</t>
  </si>
  <si>
    <t>评级展望</t>
  </si>
  <si>
    <t>评级机构</t>
  </si>
  <si>
    <t>20190409</t>
  </si>
  <si>
    <t>稳定</t>
  </si>
  <si>
    <t>中诚信国际信用评级有限责任公司</t>
  </si>
  <si>
    <t>20190326</t>
  </si>
  <si>
    <t>20190128</t>
  </si>
  <si>
    <t>20190114</t>
  </si>
  <si>
    <t>中诚信证券评估有限公司</t>
  </si>
  <si>
    <t>20181204</t>
  </si>
  <si>
    <t>20180917</t>
  </si>
  <si>
    <t>20180824</t>
  </si>
  <si>
    <t>20180807</t>
  </si>
  <si>
    <t>20180724</t>
  </si>
  <si>
    <t>20180427</t>
  </si>
  <si>
    <t>20180402</t>
  </si>
  <si>
    <t>20180119</t>
  </si>
  <si>
    <t>20180108</t>
  </si>
  <si>
    <t>20171115</t>
  </si>
  <si>
    <t>20171113</t>
  </si>
  <si>
    <t>20170603</t>
  </si>
  <si>
    <t>20170515</t>
  </si>
  <si>
    <t>20170207</t>
  </si>
  <si>
    <t>20160614</t>
  </si>
  <si>
    <t>20160603</t>
  </si>
  <si>
    <t>20150728</t>
  </si>
  <si>
    <t>AA+</t>
  </si>
  <si>
    <t>20140911</t>
  </si>
  <si>
    <t>20140826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</si>
  <si>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</si>
  <si>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</si>
  <si>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</si>
  <si>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</si>
  <si>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</si>
  <si>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</si>
  <si>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</si>
  <si>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</si>
  <si>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</si>
  <si>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</si>
  <si>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</si>
  <si>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</si>
  <si>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</si>
  <si>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</si>
  <si>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</si>
  <si>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</si>
  <si>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</si>
  <si>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</si>
  <si>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</si>
  <si>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</si>
  <si>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</si>
  <si>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</si>
  <si>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</si>
  <si>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</si>
  <si>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</si>
  <si>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</si>
  <si>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</si>
  <si>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</si>
  <si>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</si>
  <si>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</si>
  <si>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</si>
  <si>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</si>
  <si>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</si>
  <si>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</si>
  <si>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</si>
  <si>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</si>
  <si>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</si>
  <si>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</si>
  <si>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中航国际租赁有限公司</t>
  </si>
  <si>
    <t>中央国有企业</t>
  </si>
  <si>
    <t>工业--资本货物--航空航天与国防Ⅲ--航天航空与国防</t>
  </si>
  <si>
    <t>中国(上海)自由贸易试验区南泉路1261号</t>
  </si>
  <si>
    <t>中航租赁成立以来，从资金、管理和战略层面均得到了来自集团内的支持。资金方面，公司连续获得集团内增资，资金实力不断增强；管理方面，公司控股股东依照上市公司的管理要求对公司的经营体系进行管理建议，帮助公司与国内外知名公司及专家建立广泛联系，全面了解市场和业务，获得相应的运营经验；战略方面，在2017年1月的增资中，公司原第一大股东中航投资的出资权转由其唯一股东中航资本行使，进而公司由集团内四级法人提升为三级法人，在集团内部的地位进一步提升。依托中航工业集团产业背景，已逐步建立起包括民航支线、干线飞机、公务机、货机、发动机和飞行模拟机等在内的全方位航空租赁业务体系。作为国内最大的国产民机租赁服务商，中航租赁为以新舟系列飞机为代表的国产民机市场化运营提供了有力支持。根植航空工业这个适合用于融资租赁高端装备的产业，成为中航租赁能够跑赢市场的最个性化优势。与此同时，公司抓住中国经济调结构、产业升级的趋势开展市场化业务，目前中航租赁在全国30多个省市有超过500家客户，行业遍布基础设施建设、高端制造、节能环保、现代农业、医疗、电力等领域。</t>
  </si>
  <si>
    <t>中航资本控股股份有限公司</t>
  </si>
  <si>
    <t>中航投资控股有限公司</t>
  </si>
  <si>
    <t>上海航空工业(集团)有限公司</t>
  </si>
  <si>
    <t>西安飞机工业(集团)有限责任公司</t>
  </si>
  <si>
    <t/>
  </si>
  <si>
    <t>A-1</t>
  </si>
  <si>
    <t>AA</t>
  </si>
  <si>
    <t>平安国际融资租赁有限公司</t>
  </si>
  <si>
    <t>渤海租赁股份有限公司</t>
  </si>
  <si>
    <t>海通恒信国际租赁股份有限公司</t>
  </si>
  <si>
    <t>华融金融租赁股份有限公司</t>
  </si>
  <si>
    <t>上汽通用汽车金融有限责任公司</t>
  </si>
  <si>
    <t>海尔集团财务有限责任公司</t>
  </si>
  <si>
    <t>远东国际租赁有限公司</t>
  </si>
  <si>
    <t>公众企业</t>
  </si>
  <si>
    <t>其他企业</t>
  </si>
  <si>
    <t>中外合资企业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</si>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</sst>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t="str">
        <f>[1]!b_info_issuerupdated(A2)</f>
        <v>中航国际租赁有限公司</v>
      </c>
      <c r="C4" s="115"/>
      <c r="D4" s="57" t="s">
        <v>3</v>
      </c>
      <c r="E4" s="114" t="str">
        <f>[1]!s_info_nature(A2)</f>
        <v>中央国有企业</v>
      </c>
      <c r="F4" s="115"/>
      <c r="G4" s="115"/>
      <c r="H4" s="19"/>
    </row>
    <row r="5" spans="1:20" s="17" customFormat="1" ht="14.25" customHeight="1" x14ac:dyDescent="0.25">
      <c r="A5" s="57" t="s">
        <v>4</v>
      </c>
      <c r="B5" s="114" t="str">
        <f>[1]!b_issuer_windindustry(A2,9)</f>
        <v>工业--资本货物--航空航天与国防Ⅲ--航天航空与国防</v>
      </c>
      <c r="C5" s="115"/>
      <c r="D5" s="57" t="s">
        <v>5</v>
      </c>
      <c r="E5" s="114" t="str">
        <f>[1]!b_issuer_regaddress(A2)</f>
        <v>中国(上海)自由贸易试验区南泉路1261号</v>
      </c>
      <c r="F5" s="115"/>
      <c r="G5" s="115"/>
    </row>
    <row r="6" spans="1:20" s="17" customFormat="1" ht="81" customHeight="1" x14ac:dyDescent="0.25">
      <c r="A6" s="57" t="s">
        <v>6</v>
      </c>
      <c r="B6" s="116" t="str">
        <f>[1]!s_info_briefing(A2)</f>
        <v>中航租赁成立以来，从资金、管理和战略层面均得到了来自集团内的支持。资金方面，公司连续获得集团内增资，资金实力不断增强；管理方面，公司控股股东依照上市公司的管理要求对公司的经营体系进行管理建议，帮助公司与国内外知名公司及专家建立广泛联系，全面了解市场和业务，获得相应的运营经验；战略方面，在2017年1月的增资中，公司原第一大股东中航投资的出资权转由其唯一股东中航资本行使，进而公司由集团内四级法人提升为三级法人，在集团内部的地位进一步提升。依托中航工业集团产业背景，已逐步建立起包括民航支线、干线飞机、公务机、货机、发动机和飞行模拟机等在内的全方位航空租赁业务体系。作为国内最大的国产民机租赁服务商，中航租赁为以新舟系列飞机为代表的国产民机市场化运营提供了有力支持。根植航空工业这个适合用于融资租赁高端装备的产业，成为中航租赁能够跑赢市场的最个性化优势。与此同时，公司抓住中国经济调结构、产业升级的趋势开展市场化业务，目前中航租赁在全国30多个省市有超过500家客户，行业遍布基础设施建设、高端制造、节能环保、现代农业、医疗、电力等领域。</v>
      </c>
      <c r="C6" s="115"/>
      <c r="D6" s="115"/>
      <c r="E6" s="115"/>
      <c r="F6" s="115"/>
      <c r="G6" s="115"/>
    </row>
    <row r="7" spans="1:20" s="17" customFormat="1" x14ac:dyDescent="0.25">
      <c r="A7" s="58" t="s">
        <v>7</v>
      </c>
      <c r="B7" s="117" t="str">
        <f>[1]!b_issuer_shareholder(A2,"",1)</f>
        <v>中航资本控股股份有限公司</v>
      </c>
      <c r="C7" s="115"/>
      <c r="D7" s="115"/>
      <c r="E7" s="115"/>
      <c r="F7" s="60">
        <f>[1]!b_issuer_propofshareholder($A$2,"",1)%</f>
        <v>0.49071998596191407</v>
      </c>
      <c r="G7" s="59"/>
      <c r="H7" s="20" t="s">
        <v>8</v>
      </c>
      <c r="M7" s="24">
        <v>42004</v>
      </c>
      <c r="N7" s="24">
        <v>42369</v>
      </c>
      <c r="O7" s="24">
        <v>41639</v>
      </c>
      <c r="P7" s="61" t="s">
        <v>9</v>
      </c>
      <c r="Q7" s="61" t="s">
        <v>10</v>
      </c>
      <c r="R7" s="61" t="s">
        <v>11</v>
      </c>
    </row>
    <row r="8" spans="1:20" s="17" customFormat="1" x14ac:dyDescent="0.25">
      <c r="A8" s="58"/>
      <c r="B8" s="117" t="str">
        <f>[1]!b_issuer_shareholder(A2,"",2)</f>
        <v>中航投资控股有限公司</v>
      </c>
      <c r="C8" s="115"/>
      <c r="D8" s="115"/>
      <c r="E8" s="115"/>
      <c r="F8" s="60">
        <f>[1]!b_issuer_propofshareholder($A$2,"",2)%</f>
        <v>0.49064998626708983</v>
      </c>
      <c r="G8" s="59"/>
      <c r="H8" s="20"/>
      <c r="M8" s="25"/>
      <c r="O8" s="25"/>
      <c r="P8" s="62"/>
    </row>
    <row r="9" spans="1:20" s="17" customFormat="1" x14ac:dyDescent="0.25">
      <c r="A9" s="58"/>
      <c r="B9" s="117" t="str">
        <f>[1]!b_issuer_shareholder(A2,"",3)</f>
        <v>上海航空工业(集团)有限公司</v>
      </c>
      <c r="C9" s="115"/>
      <c r="D9" s="115"/>
      <c r="E9" s="115"/>
      <c r="F9" s="60">
        <f>[1]!b_issuer_propofshareholder($A$2,"",3)%</f>
        <v>1.36899995803833E-2</v>
      </c>
      <c r="G9" s="59"/>
      <c r="H9" s="20"/>
      <c r="M9" s="25"/>
      <c r="O9" s="25"/>
      <c r="P9" s="62"/>
    </row>
    <row r="10" spans="1:20" s="17" customFormat="1" x14ac:dyDescent="0.25">
      <c r="A10" s="58"/>
      <c r="B10" s="117" t="str">
        <f>[1]!b_issuer_shareholder(A2,"",4)</f>
        <v>西安飞机工业(集团)有限责任公司</v>
      </c>
      <c r="C10" s="115"/>
      <c r="D10" s="115"/>
      <c r="E10" s="115"/>
      <c r="F10" s="60">
        <f>[1]!b_issuer_propofshareholder($A$2,"",4)%</f>
        <v>4.9399998784065251E-3</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d19041602.IB</v>
      </c>
      <c r="K14" s="26"/>
      <c r="L14" s="27" t="str">
        <f>T15</f>
        <v>101651002.IB</v>
      </c>
      <c r="M14" s="27" t="str">
        <f>T16</f>
        <v>112188.SZ</v>
      </c>
      <c r="N14" s="27" t="str">
        <f>T17</f>
        <v>101453032.IB</v>
      </c>
      <c r="O14" s="27" t="str">
        <f>T18</f>
        <v>1022002.IB</v>
      </c>
      <c r="P14" s="27" t="str">
        <f>T19</f>
        <v>1422003.IB</v>
      </c>
      <c r="Q14" s="27" t="str">
        <f>T20</f>
        <v>1322006.IB</v>
      </c>
      <c r="R14" s="5" t="str">
        <f>T21</f>
        <v>101456061.IB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中航国际租赁有限公司</v>
      </c>
      <c r="K15" s="133"/>
      <c r="L15" s="8" t="str">
        <f>[1]!b_info_issuer(L14)</f>
        <v>平安国际融资租赁有限公司</v>
      </c>
      <c r="M15" s="8" t="str">
        <f>[1]!b_info_issuer(M14)</f>
        <v>渤海租赁股份有限公司</v>
      </c>
      <c r="N15" s="8" t="str">
        <f>[1]!b_info_issuer(N14)</f>
        <v>海通恒信国际租赁股份有限公司</v>
      </c>
      <c r="O15" s="8" t="str">
        <f>[1]!b_info_issuer(O14)</f>
        <v>华融金融租赁股份有限公司</v>
      </c>
      <c r="P15" s="8" t="str">
        <f>[1]!b_info_issuer(P14)</f>
        <v>上汽通用汽车金融有限责任公司</v>
      </c>
      <c r="Q15" s="8" t="str">
        <f>[1]!b_info_issuer(Q14)</f>
        <v>海尔集团财务有限责任公司</v>
      </c>
      <c r="R15" s="8" t="str">
        <f>[1]!b_info_issuer(R14)</f>
        <v>远东国际租赁有限公司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19"/>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19"/>
      <c r="L17" s="66" t="str">
        <f>[1]!s_info_nature(L14)</f>
        <v>公众企业</v>
      </c>
      <c r="M17" s="66" t="str">
        <f>[1]!s_info_nature(M14)</f>
        <v>其他企业</v>
      </c>
      <c r="N17" s="66" t="str">
        <f>[1]!s_info_nature(N14)</f>
        <v>公众企业</v>
      </c>
      <c r="O17" s="66" t="str">
        <f>[1]!s_info_nature(O14)</f>
        <v>中央国有企业</v>
      </c>
      <c r="P17" s="66" t="str">
        <f>[1]!s_info_nature(P14)</f>
        <v>中外合资企业</v>
      </c>
      <c r="Q17" s="66" t="str">
        <f>[1]!s_info_nature(Q14)</f>
        <v>民营企业</v>
      </c>
      <c r="R17" s="66" t="str">
        <f>[1]!s_info_nature(R14)</f>
        <v>中央国有企业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19"/>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882.03758400829997</v>
      </c>
      <c r="K19" s="119"/>
      <c r="L19" s="67">
        <f>[1]!b_stm07_bs(L14,74,L13,1)/100000000</f>
        <v>1771.1122861900001</v>
      </c>
      <c r="M19" s="67">
        <f>[1]!b_stm07_bs(M14,74,M13,1)/100000000</f>
        <v>3003.9436300000002</v>
      </c>
      <c r="N19" s="67">
        <f>[1]!b_stm07_bs(N14,74,N13,1)/100000000</f>
        <v>606.88801950970003</v>
      </c>
      <c r="O19" s="67">
        <f>[1]!b_stm07_bs(O14,74,O13,1)/100000000</f>
        <v>1320.1483845404</v>
      </c>
      <c r="P19" s="67">
        <f>[1]!b_stm07_bs(P14,74,P13,1)/100000000</f>
        <v>1064.4508927019001</v>
      </c>
      <c r="Q19" s="67">
        <f>[1]!b_stm07_bs(Q14,74,Q13,1)/100000000</f>
        <v>763.51934877740007</v>
      </c>
      <c r="R19" s="67">
        <f>[1]!b_stm07_bs(R14,74,R13,1)/100000000</f>
        <v>2198.0604139648999</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0.88364199999999993</v>
      </c>
      <c r="K20" s="119"/>
      <c r="L20" s="10">
        <f>[1]!s_fa_debttoassets(L14,L13)/100</f>
        <v>0.87294099999999997</v>
      </c>
      <c r="M20" s="10">
        <f>[1]!s_fa_debttoassets(M14,M13)/100</f>
        <v>0.88210899999999992</v>
      </c>
      <c r="N20" s="10">
        <f>[1]!s_fa_debttoassets(N14,N13)/100</f>
        <v>0.80438900000000002</v>
      </c>
      <c r="O20" s="10">
        <f>[1]!s_fa_debttoassets(O14,O13)/100</f>
        <v>0.89213600000000004</v>
      </c>
      <c r="P20" s="10">
        <f>[1]!s_fa_debttoassets(P14,P13)/100</f>
        <v>0.87721300000000002</v>
      </c>
      <c r="Q20" s="10">
        <f>[1]!s_fa_debttoassets(Q14,Q13)/100</f>
        <v>0.85396899999999998</v>
      </c>
      <c r="R20" s="10">
        <f>[1]!s_fa_debttoassets(R14,R13)/100</f>
        <v>0.8408199999999999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0.71360000000000001</v>
      </c>
      <c r="K21" s="119"/>
      <c r="L21" s="67">
        <f>[1]!s_fa_current(L14,L13)</f>
        <v>1.177</v>
      </c>
      <c r="M21" s="67">
        <f>[1]!s_fa_current(M14,M13)</f>
        <v>0.74360000000000004</v>
      </c>
      <c r="N21" s="67">
        <f>[1]!s_fa_current(N14,N13)</f>
        <v>1.3213999999999999</v>
      </c>
      <c r="O21" s="67">
        <f>[1]!s_fa_current(O14,O13)</f>
        <v>0</v>
      </c>
      <c r="P21" s="67">
        <f>[1]!s_fa_current(P14,P13)</f>
        <v>0</v>
      </c>
      <c r="Q21" s="67">
        <f>[1]!s_fa_current(Q14,Q13)</f>
        <v>0</v>
      </c>
      <c r="R21" s="67">
        <f>[1]!s_fa_current(R14,R13)</f>
        <v>1.2823</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4.8382562885363543</v>
      </c>
      <c r="K22" s="119"/>
      <c r="L22" s="65">
        <f>(公式页!L96+公式页!L97+公式页!L98+公式页!L99+公式页!L100+公式页!L101)/公式页!L103</f>
        <v>5.5014826719611873</v>
      </c>
      <c r="M22" s="65">
        <f t="shared" ref="M22:R22" si="0">(M96+M97+M98+M99+M100+M101)/M103</f>
        <v>6.7407026378540698</v>
      </c>
      <c r="N22" s="65">
        <f t="shared" si="0"/>
        <v>3.4672976835458975</v>
      </c>
      <c r="O22" s="65">
        <f t="shared" si="0"/>
        <v>1.1424499886906132</v>
      </c>
      <c r="P22" s="65">
        <f t="shared" si="0"/>
        <v>0.79737446070691531</v>
      </c>
      <c r="Q22" s="65">
        <f t="shared" si="0"/>
        <v>0.20963235449697701</v>
      </c>
      <c r="R22" s="65">
        <f t="shared" si="0"/>
        <v>4.1253335256282995</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2.64E-2</v>
      </c>
      <c r="K23" s="119"/>
      <c r="L23" s="67">
        <f>[1]!s_fa_ebitdatodebt(L14,L13)</f>
        <v>2.0500000000000001E-2</v>
      </c>
      <c r="M23" s="67">
        <f>[1]!s_fa_ebitdatodebt(M14,M13)</f>
        <v>7.7799999999999994E-2</v>
      </c>
      <c r="N23" s="67">
        <f>[1]!s_fa_ebitdatodebt(N14,N13)</f>
        <v>3.44E-2</v>
      </c>
      <c r="O23" s="67">
        <f>[1]!s_fa_ebitdatodebt(O14,O13)</f>
        <v>0</v>
      </c>
      <c r="P23" s="67">
        <f>[1]!s_fa_ebitdatodebt(P14,P13)</f>
        <v>0</v>
      </c>
      <c r="Q23" s="67">
        <f>[1]!s_fa_ebitdatodebt(Q14,Q13)</f>
        <v>0</v>
      </c>
      <c r="R23" s="67">
        <f>[1]!s_fa_ebitdatodebt(R14,R13)</f>
        <v>3.1300000000000001E-2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55.425571461300002</v>
      </c>
      <c r="K24" s="119"/>
      <c r="L24" s="67">
        <f>[1]!b_stm07_is(L14,9,L13,1)/100000000</f>
        <v>93.486153090000002</v>
      </c>
      <c r="M24" s="67">
        <f>[1]!b_stm07_is(M14,9,M13,1)/100000000</f>
        <v>359.34350999999998</v>
      </c>
      <c r="N24" s="67">
        <f>[1]!b_stm07_is(N14,9,N13,1)/100000000</f>
        <v>40.771669599799999</v>
      </c>
      <c r="O24" s="67">
        <f>[1]!b_stm07_is(O14,9,O13,1)/100000000</f>
        <v>29.7071804011</v>
      </c>
      <c r="P24" s="67">
        <f>[1]!b_stm07_is(P14,9,P13,1)/100000000</f>
        <v>61.742357623300002</v>
      </c>
      <c r="Q24" s="67">
        <f>[1]!b_stm07_is(Q14,9,Q13,1)/100000000</f>
        <v>26.533263660399999</v>
      </c>
      <c r="R24" s="67">
        <f>[1]!b_stm07_is(R14,9,R13,1)/100000000</f>
        <v>172.8020099762</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4.8604000000000003</v>
      </c>
      <c r="K25" s="119"/>
      <c r="L25" s="11">
        <f>[1]!s_fa_salescashintoor(L14,L13)%</f>
        <v>0</v>
      </c>
      <c r="M25" s="11">
        <f>[1]!s_fa_salescashintoor(M14,M13)%</f>
        <v>0.7288</v>
      </c>
      <c r="N25" s="11">
        <f>[1]!s_fa_salescashintoor(N14,N13)%</f>
        <v>0.22869999999999999</v>
      </c>
      <c r="O25" s="11">
        <f>[1]!s_fa_salescashintoor(O14,O13)%</f>
        <v>0</v>
      </c>
      <c r="P25" s="11">
        <f>[1]!s_fa_salescashintoor(P14,P13)%</f>
        <v>0</v>
      </c>
      <c r="Q25" s="11">
        <f>[1]!s_fa_salescashintoor(Q14,Q13)%</f>
        <v>0</v>
      </c>
      <c r="R25" s="11">
        <f>[1]!s_fa_salescashintoor(R14,R13)%</f>
        <v>9.4022000000000006</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0.50889300000000004</v>
      </c>
      <c r="K26" s="119"/>
      <c r="L26" s="11">
        <f>[1]!s_fa_grossprofitmargin(L14,L13)%</f>
        <v>0.45830399999999999</v>
      </c>
      <c r="M26" s="11">
        <f>[1]!s_fa_grossprofitmargin(M14,M13)%</f>
        <v>0.41137200000000002</v>
      </c>
      <c r="N26" s="11">
        <f>[1]!s_fa_grossprofitmargin(N14,N13)%</f>
        <v>0.62148700000000001</v>
      </c>
      <c r="O26" s="11">
        <f>[1]!s_fa_grossprofitmargin(O14,O13)%</f>
        <v>0</v>
      </c>
      <c r="P26" s="11">
        <f>[1]!s_fa_grossprofitmargin(P14,P13)%</f>
        <v>0</v>
      </c>
      <c r="Q26" s="11">
        <f>[1]!s_fa_grossprofitmargin(Q14,Q13)%</f>
        <v>0</v>
      </c>
      <c r="R26" s="11">
        <f>[1]!s_fa_grossprofitmargin(R14,R13)%</f>
        <v>0.61016499999999996</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10.215646045</v>
      </c>
      <c r="K27" s="119"/>
      <c r="L27" s="68">
        <f>[1]!b_stm07_is(L14,60,L13,1)/100000000</f>
        <v>19.985997080000001</v>
      </c>
      <c r="M27" s="68">
        <f>[1]!b_stm07_is(M14,60,M13,1)/100000000</f>
        <v>31.561260000000001</v>
      </c>
      <c r="N27" s="68">
        <f>[1]!b_stm07_is(N14,60,N13,1)/100000000</f>
        <v>12.512638248499998</v>
      </c>
      <c r="O27" s="68">
        <f>[1]!b_stm07_is(O14,60,O13,1)/100000000</f>
        <v>16.2854935043</v>
      </c>
      <c r="P27" s="68">
        <f>[1]!b_stm07_is(P14,60,P13,1)/100000000</f>
        <v>26.036750611199999</v>
      </c>
      <c r="Q27" s="68">
        <f>[1]!b_stm07_is(Q14,60,Q13,1)/100000000</f>
        <v>14.274556715399999</v>
      </c>
      <c r="R27" s="68">
        <f>[1]!b_stm07_is(R14,60,R13,1)/100000000</f>
        <v>38.921882408000002</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0.11074299999999999</v>
      </c>
      <c r="K28" s="119"/>
      <c r="L28" s="10">
        <f>[1]!s_fa_roe(L14,L13)%</f>
        <v>0.11198499999999999</v>
      </c>
      <c r="M28" s="10">
        <f>[1]!s_fa_roe(M14,M13)%</f>
        <v>8.3789000000000002E-2</v>
      </c>
      <c r="N28" s="10">
        <f>[1]!s_fa_roe(N14,N13)%</f>
        <v>0.11161599999999999</v>
      </c>
      <c r="O28" s="10">
        <f>[1]!s_fa_roe(O14,O13)%</f>
        <v>0.128412</v>
      </c>
      <c r="P28" s="10">
        <f>[1]!s_fa_roe(P14,P13)%</f>
        <v>0.221246</v>
      </c>
      <c r="Q28" s="10">
        <f>[1]!s_fa_roe(Q14,Q13)%</f>
        <v>0.13639099999999998</v>
      </c>
      <c r="R28" s="10">
        <f>[1]!s_fa_roe(R14,R13)%</f>
        <v>0.128862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-123.40875424149999</v>
      </c>
      <c r="K29" s="119"/>
      <c r="L29" s="68">
        <f>[1]!b_stm07_cs(L14,39,L13,1)/100000000</f>
        <v>-89.682016759999996</v>
      </c>
      <c r="M29" s="68">
        <f>[1]!b_stm07_cs(M14,39,M13,1)/100000000</f>
        <v>210.23230000000001</v>
      </c>
      <c r="N29" s="68">
        <f>[1]!b_stm07_cs(N14,39,N13,1)/100000000</f>
        <v>-106.8250900216</v>
      </c>
      <c r="O29" s="68">
        <f>[1]!b_stm07_cs(O14,39,O13,1)/100000000</f>
        <v>-89.279442043099991</v>
      </c>
      <c r="P29" s="68">
        <f>[1]!b_stm07_cs(P14,39,P13,1)/100000000</f>
        <v>113.2593879476</v>
      </c>
      <c r="Q29" s="68">
        <f>[1]!b_stm07_cs(Q14,39,Q13,1)/100000000</f>
        <v>31.360020664899999</v>
      </c>
      <c r="R29" s="68">
        <f>[1]!b_stm07_cs(R14,39,R13,1)/100000000</f>
        <v>-411.94818445370004</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12486073834.67</v>
      </c>
      <c r="K96" s="70"/>
      <c r="L96" s="70">
        <f>[1]!b_stm07_bs(L14,75,L13,1)</f>
        <v>28618853565</v>
      </c>
      <c r="M96" s="70">
        <f>[1]!b_stm07_bs(M14,75,M13,1)</f>
        <v>30900714000</v>
      </c>
      <c r="N96" s="70">
        <f>[1]!b_stm07_bs(N14,75,N13,1)</f>
        <v>3075704000</v>
      </c>
      <c r="O96" s="70">
        <f>[1]!b_stm07_bs(O14,75,O13,1)</f>
        <v>0</v>
      </c>
      <c r="P96" s="70">
        <f>[1]!b_stm07_bs(P14,75,P13,1)</f>
        <v>0</v>
      </c>
      <c r="Q96" s="70">
        <f>[1]!b_stm07_bs(Q14,75,Q13,1)</f>
        <v>0</v>
      </c>
      <c r="R96" s="70">
        <f>[1]!b_stm07_bs(R14,75,R13,1)</f>
        <v>13445046538.959999</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621717157.42999995</v>
      </c>
      <c r="K97" s="70"/>
      <c r="L97" s="70">
        <f>[1]!b_stm07_bs(L14,82,L13,1)</f>
        <v>818214741</v>
      </c>
      <c r="M97" s="70">
        <f>[1]!b_stm07_bs(M14,82,M13,1)</f>
        <v>1816255000</v>
      </c>
      <c r="N97" s="70">
        <f>[1]!b_stm07_bs(N14,82,N13,1)</f>
        <v>309454011.72000003</v>
      </c>
      <c r="O97" s="70">
        <f>[1]!b_stm07_bs(O14,82,O13,1)</f>
        <v>798895836.65999997</v>
      </c>
      <c r="P97" s="70">
        <f>[1]!b_stm07_bs(P14,82,P13,1)</f>
        <v>580814760.67999995</v>
      </c>
      <c r="Q97" s="70">
        <f>[1]!b_stm07_bs(Q14,82,Q13,1)</f>
        <v>276473780.29000002</v>
      </c>
      <c r="R97" s="70">
        <f>[1]!b_stm07_bs(R14,82,R13,1)</f>
        <v>1723174145.6099999</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10768285568.719999</v>
      </c>
      <c r="K98" s="70"/>
      <c r="L98" s="70">
        <f>[1]!b_stm07_bs(L14,88,L13,1)</f>
        <v>16357674964</v>
      </c>
      <c r="M98" s="70">
        <f>[1]!b_stm07_bs(M14,88,M13,1)</f>
        <v>25162686000</v>
      </c>
      <c r="N98" s="70">
        <f>[1]!b_stm07_bs(N14,88,N13,1)</f>
        <v>18114868020.029999</v>
      </c>
      <c r="O98" s="70">
        <f>[1]!b_stm07_bs(O14,88,O13,1)</f>
        <v>0</v>
      </c>
      <c r="P98" s="70">
        <f>[1]!b_stm07_bs(P14,88,P13,1)</f>
        <v>0</v>
      </c>
      <c r="Q98" s="70">
        <f>[1]!b_stm07_bs(Q14,88,Q13,1)</f>
        <v>0</v>
      </c>
      <c r="R98" s="70">
        <f>[1]!b_stm07_bs(R14,88,R13,1)</f>
        <v>38199993022.559998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11489287772</v>
      </c>
      <c r="M99" s="70">
        <f>[1]!b_stm07_bs(M14,147,M13,1)</f>
        <v>1560640000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23289579793.049999</v>
      </c>
      <c r="K100" s="70"/>
      <c r="L100" s="70">
        <f>[1]!b_stm07_bs(L14,94,L13,1)</f>
        <v>41074451752</v>
      </c>
      <c r="M100" s="70">
        <f>[1]!b_stm07_bs(M14,94,M13,1)</f>
        <v>105446644000</v>
      </c>
      <c r="N100" s="70">
        <f>[1]!b_stm07_bs(N14,94,N13,1)</f>
        <v>9691636666.9699993</v>
      </c>
      <c r="O100" s="70">
        <f>[1]!b_stm07_bs(O14,94,O13,1)</f>
        <v>0</v>
      </c>
      <c r="P100" s="70">
        <f>[1]!b_stm07_bs(P14,94,P13,1)</f>
        <v>0</v>
      </c>
      <c r="Q100" s="70">
        <f>[1]!b_stm07_bs(Q14,94,Q13,1)</f>
        <v>0</v>
      </c>
      <c r="R100" s="70">
        <f>[1]!b_stm07_bs(R14,94,R13,1)</f>
        <v>39211770614.75</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2490374766.1100001</v>
      </c>
      <c r="K101" s="70"/>
      <c r="L101" s="70">
        <f>[1]!b_stm07_bs(L14,95,L13,1)</f>
        <v>25444768948</v>
      </c>
      <c r="M101" s="70">
        <f>[1]!b_stm07_bs(M14,95,M13,1)</f>
        <v>73827374000</v>
      </c>
      <c r="N101" s="70">
        <f>[1]!b_stm07_bs(N14,95,N13,1)</f>
        <v>9969987052.7700005</v>
      </c>
      <c r="O101" s="70">
        <f>[1]!b_stm07_bs(O14,95,O13,1)</f>
        <v>15469237439.889999</v>
      </c>
      <c r="P101" s="70">
        <f>[1]!b_stm07_bs(P14,95,P13,1)</f>
        <v>9840939466.9500008</v>
      </c>
      <c r="Q101" s="70">
        <f>[1]!b_stm07_bs(Q14,95,Q13,1)</f>
        <v>2060870684.9300001</v>
      </c>
      <c r="R101" s="70">
        <f>[1]!b_stm07_bs(R14,95,R13,1)</f>
        <v>51760538777.089996</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10263208097.85</v>
      </c>
      <c r="K103" s="70"/>
      <c r="L103" s="70">
        <f>[1]!b_stm07_bs(L14,141,L13,1)</f>
        <v>22503615684</v>
      </c>
      <c r="M103" s="70">
        <f>[1]!b_stm07_bs(M14,141,M13,1)</f>
        <v>35413862000</v>
      </c>
      <c r="N103" s="70">
        <f>[1]!b_stm07_bs(N14,141,N13,1)</f>
        <v>11871391933.5</v>
      </c>
      <c r="O103" s="70">
        <f>[1]!b_stm07_bs(O14,141,O13,1)</f>
        <v>14239689647.33</v>
      </c>
      <c r="P103" s="70">
        <f>[1]!b_stm07_bs(P14,141,P13,1)</f>
        <v>13070087820.959999</v>
      </c>
      <c r="Q103" s="70">
        <f>[1]!b_stm07_bs(Q14,141,Q13,1)</f>
        <v>11149731494.59</v>
      </c>
      <c r="R103" s="70">
        <f>[1]!b_stm07_bs(R14,141,R13,1)</f>
        <v>34988812953.489998</v>
      </c>
    </row>
    <row r="106" spans="1:19" ht="14.25" customHeight="1" x14ac:dyDescent="0.25">
      <c r="A106" s="118" t="s">
        <v>54</v>
      </c>
      <c r="B106" s="113"/>
      <c r="C106" s="113"/>
      <c r="D106" s="119"/>
      <c r="E106" s="119"/>
      <c r="F106" s="119"/>
      <c r="G106" s="119"/>
      <c r="H106" s="119"/>
      <c r="I106" s="119"/>
      <c r="J106" s="119"/>
      <c r="L106" s="17"/>
      <c r="M106" s="17"/>
    </row>
    <row r="107" spans="1:19" x14ac:dyDescent="0.25">
      <c r="A107" s="120" t="s">
        <v>55</v>
      </c>
      <c r="B107" s="113"/>
      <c r="C107" s="113"/>
      <c r="D107" s="119"/>
      <c r="E107" s="119"/>
      <c r="F107" s="119"/>
      <c r="G107" s="121">
        <v>2017</v>
      </c>
      <c r="H107" s="119"/>
      <c r="I107" s="119"/>
      <c r="J107" s="119"/>
      <c r="K107" s="40" t="str">
        <f>A2</f>
        <v>d19041602.IB</v>
      </c>
      <c r="L107" s="33">
        <f>B2</f>
        <v>43100</v>
      </c>
      <c r="M107" s="17"/>
    </row>
    <row r="108" spans="1:19" ht="12.75" customHeight="1" x14ac:dyDescent="0.25">
      <c r="A108" s="122" t="s">
        <v>56</v>
      </c>
      <c r="B108" s="113"/>
      <c r="C108" s="122" t="s">
        <v>57</v>
      </c>
      <c r="D108" s="119"/>
      <c r="E108" s="122" t="s">
        <v>58</v>
      </c>
      <c r="F108" s="119"/>
      <c r="G108" s="122" t="s">
        <v>59</v>
      </c>
      <c r="H108" s="119"/>
      <c r="I108" s="122" t="s">
        <v>60</v>
      </c>
      <c r="J108" s="119"/>
      <c r="L108" s="17"/>
      <c r="M108" s="17"/>
    </row>
    <row r="109" spans="1:19" ht="16.5" customHeight="1" x14ac:dyDescent="0.25">
      <c r="A109" s="54" t="s">
        <v>61</v>
      </c>
      <c r="B109" s="12">
        <f>M109/100</f>
        <v>0.88364199999999993</v>
      </c>
      <c r="C109" s="54" t="s">
        <v>36</v>
      </c>
      <c r="D109" s="71">
        <f>[1]!s_fa_current(A2,B2)</f>
        <v>0.71360000000000001</v>
      </c>
      <c r="E109" s="54" t="s">
        <v>41</v>
      </c>
      <c r="F109" s="72">
        <f>[1]!s_fa_salescashintoor(A2,B2)/100</f>
        <v>4.8604000000000003</v>
      </c>
      <c r="G109" s="54" t="s">
        <v>42</v>
      </c>
      <c r="H109" s="12">
        <f>S109/100</f>
        <v>0.50889300000000004</v>
      </c>
      <c r="I109" s="54"/>
      <c r="J109" s="16"/>
      <c r="K109" s="25"/>
      <c r="L109" s="34" t="s">
        <v>61</v>
      </c>
      <c r="M109" s="73">
        <f>[1]!s_fa_debttoassets(A2,B2)</f>
        <v>88.364199999999997</v>
      </c>
      <c r="N109" s="54" t="s">
        <v>36</v>
      </c>
      <c r="O109" s="35"/>
      <c r="P109" s="54" t="s">
        <v>41</v>
      </c>
      <c r="Q109" s="35"/>
      <c r="R109" s="54" t="s">
        <v>42</v>
      </c>
      <c r="S109" s="74">
        <f>[1]!s_fa_grossprofitmargin(A2,B2)</f>
        <v>50.889299999999999</v>
      </c>
    </row>
    <row r="110" spans="1:19" ht="15.75" customHeight="1" x14ac:dyDescent="0.25">
      <c r="A110" s="54" t="s">
        <v>62</v>
      </c>
      <c r="B110" s="12">
        <f>M110/100</f>
        <v>0.28197299999999997</v>
      </c>
      <c r="C110" s="54" t="s">
        <v>63</v>
      </c>
      <c r="D110" s="72">
        <f>[1]!s_fa_quick(A2,B2)</f>
        <v>0.71340000000000003</v>
      </c>
      <c r="E110" s="54" t="s">
        <v>64</v>
      </c>
      <c r="F110" s="71">
        <f>[1]!s_fa_arturn(A2,B2)</f>
        <v>38.780299999999997</v>
      </c>
      <c r="G110" s="54" t="s">
        <v>65</v>
      </c>
      <c r="H110" s="12">
        <f>S110/100</f>
        <v>0.24530200000000002</v>
      </c>
      <c r="I110" s="54"/>
      <c r="J110" s="16"/>
      <c r="L110" s="54" t="s">
        <v>62</v>
      </c>
      <c r="M110" s="73">
        <f>[1]!s_fa_catoassets(A2,B2)</f>
        <v>28.197299999999998</v>
      </c>
      <c r="N110" s="54" t="s">
        <v>63</v>
      </c>
      <c r="O110" s="35"/>
      <c r="P110" s="54" t="s">
        <v>64</v>
      </c>
      <c r="Q110" s="72"/>
      <c r="R110" s="54" t="s">
        <v>65</v>
      </c>
      <c r="S110" s="74">
        <f>[1]!s_fa_optogr(A2,B2)</f>
        <v>24.530200000000001</v>
      </c>
    </row>
    <row r="111" spans="1:19" ht="15" customHeight="1" x14ac:dyDescent="0.25">
      <c r="A111" s="54" t="s">
        <v>66</v>
      </c>
      <c r="B111" s="12">
        <f>M111/100</f>
        <v>0.44718400000000003</v>
      </c>
      <c r="C111" s="54" t="s">
        <v>39</v>
      </c>
      <c r="D111" s="72">
        <f>[1]!s_fa_ebitdatodebt(A2,B2)</f>
        <v>2.64E-2</v>
      </c>
      <c r="E111" s="54" t="s">
        <v>67</v>
      </c>
      <c r="F111" s="71">
        <f>[1]!s_fa_invturn(A2,B2)</f>
        <v>362.88690000000003</v>
      </c>
      <c r="G111" s="54" t="s">
        <v>45</v>
      </c>
      <c r="H111" s="12">
        <f>S111/100</f>
        <v>0.11074299999999999</v>
      </c>
      <c r="I111" s="54"/>
      <c r="J111" s="16"/>
      <c r="L111" s="54" t="s">
        <v>66</v>
      </c>
      <c r="M111" s="73">
        <f>[1]!s_fa_currentdebttodebt(A2,B2)</f>
        <v>44.718400000000003</v>
      </c>
      <c r="N111" s="54" t="s">
        <v>39</v>
      </c>
      <c r="O111" s="35"/>
      <c r="P111" s="54" t="s">
        <v>67</v>
      </c>
      <c r="Q111" s="35"/>
      <c r="R111" s="54" t="s">
        <v>45</v>
      </c>
      <c r="S111" s="74">
        <f>[1]!s_fa_roe(A2,B2)</f>
        <v>11.074299999999999</v>
      </c>
    </row>
    <row r="112" spans="1:19" ht="14.25" customHeight="1" x14ac:dyDescent="0.25">
      <c r="A112" s="54" t="s">
        <v>38</v>
      </c>
      <c r="B112" s="75">
        <f>(M116+M117+M118+M119+M120+M121)/M123</f>
        <v>4.8382562885363543</v>
      </c>
      <c r="C112" s="54" t="s">
        <v>68</v>
      </c>
      <c r="D112" s="72">
        <f>[1]!s_fa_ebittointerest(A2,B2)</f>
        <v>0</v>
      </c>
      <c r="E112" s="54" t="s">
        <v>69</v>
      </c>
      <c r="F112" s="71">
        <f>[1]!s_fa_caturn(A2,B2)</f>
        <v>0.25219999999999998</v>
      </c>
      <c r="G112" s="54" t="s">
        <v>70</v>
      </c>
      <c r="H112" s="12">
        <f>S112/100</f>
        <v>1.7073999999999999E-2</v>
      </c>
      <c r="I112" s="54"/>
      <c r="J112" s="16"/>
      <c r="L112" s="54" t="s">
        <v>38</v>
      </c>
      <c r="M112" s="76"/>
      <c r="N112" s="54" t="s">
        <v>68</v>
      </c>
      <c r="O112" s="35"/>
      <c r="P112" s="54" t="s">
        <v>69</v>
      </c>
      <c r="Q112" s="35"/>
      <c r="R112" s="54" t="s">
        <v>70</v>
      </c>
      <c r="S112" s="74">
        <f>[1]!s_fa_roa2(A2,B2)</f>
        <v>1.7074</v>
      </c>
    </row>
    <row r="113" spans="1:21" x14ac:dyDescent="0.25">
      <c r="A113" s="30"/>
      <c r="B113" s="31"/>
      <c r="C113" s="30"/>
      <c r="D113" s="32"/>
      <c r="E113" s="30" t="s">
        <v>71</v>
      </c>
      <c r="F113" s="77">
        <f>[1]!s_fa_dupont_faturnover(A2,B2)</f>
        <v>7.0599999999999996E-2</v>
      </c>
      <c r="G113" s="30"/>
      <c r="H113" s="31"/>
      <c r="I113" s="30"/>
      <c r="J113" s="31"/>
      <c r="L113" s="30"/>
      <c r="M113" s="36"/>
      <c r="N113" s="30"/>
      <c r="O113" s="32"/>
      <c r="P113" s="30" t="s">
        <v>71</v>
      </c>
      <c r="Q113" s="37"/>
      <c r="R113" s="30"/>
      <c r="S113" s="31"/>
    </row>
    <row r="114" spans="1:21" ht="13.5" customHeight="1" x14ac:dyDescent="0.25">
      <c r="A114" s="118" t="s">
        <v>72</v>
      </c>
      <c r="B114" s="113"/>
      <c r="C114" s="113"/>
      <c r="D114" s="119"/>
      <c r="E114" s="119"/>
      <c r="F114" s="119"/>
      <c r="G114" s="119"/>
      <c r="H114" s="119"/>
      <c r="I114" s="119"/>
      <c r="J114" s="119"/>
      <c r="L114" s="17"/>
      <c r="M114" s="17"/>
    </row>
    <row r="115" spans="1:21" ht="13.5" customHeight="1" x14ac:dyDescent="0.25">
      <c r="A115" s="120" t="s">
        <v>73</v>
      </c>
      <c r="B115" s="113"/>
      <c r="C115" s="113"/>
      <c r="D115" s="119"/>
      <c r="E115" s="119"/>
      <c r="F115" s="119"/>
      <c r="G115" s="123">
        <v>2017</v>
      </c>
      <c r="H115" s="119"/>
      <c r="I115" s="119"/>
      <c r="J115" s="119"/>
      <c r="L115" s="17"/>
      <c r="M115" s="17"/>
    </row>
    <row r="116" spans="1:21" x14ac:dyDescent="0.25">
      <c r="A116" s="124" t="s">
        <v>74</v>
      </c>
      <c r="B116" s="113"/>
      <c r="C116" s="124" t="s">
        <v>75</v>
      </c>
      <c r="D116" s="119"/>
      <c r="E116" s="125" t="s">
        <v>76</v>
      </c>
      <c r="F116" s="119"/>
      <c r="G116" s="119"/>
      <c r="H116" s="119"/>
      <c r="I116" s="119"/>
      <c r="J116" s="119"/>
      <c r="L116" s="17" t="s">
        <v>47</v>
      </c>
      <c r="M116" s="70">
        <f>[1]!b_stm07_bs(K107,75,L107,1)</f>
        <v>12486073834.67</v>
      </c>
    </row>
    <row r="117" spans="1:21" ht="14.25" customHeight="1" x14ac:dyDescent="0.25">
      <c r="A117" s="54" t="s">
        <v>77</v>
      </c>
      <c r="B117" s="72">
        <f t="shared" ref="B117:B131" si="1">M127/100000000</f>
        <v>30.249540634099997</v>
      </c>
      <c r="C117" s="54" t="s">
        <v>78</v>
      </c>
      <c r="D117" s="75">
        <f t="shared" ref="D117:D125" si="2">O127/100000000</f>
        <v>55.425571461300002</v>
      </c>
      <c r="E117" s="126" t="s">
        <v>79</v>
      </c>
      <c r="F117" s="119"/>
      <c r="G117" s="119"/>
      <c r="H117" s="127">
        <f t="shared" ref="H117:H131" si="3">S127/100000000</f>
        <v>269.38888638139997</v>
      </c>
      <c r="I117" s="119"/>
      <c r="J117" s="119"/>
      <c r="L117" s="17" t="s">
        <v>48</v>
      </c>
      <c r="M117" s="70">
        <f>[1]!b_stm07_bs(K107,82,L107,1)</f>
        <v>621717157.42999995</v>
      </c>
    </row>
    <row r="118" spans="1:21" ht="14.25" customHeight="1" x14ac:dyDescent="0.25">
      <c r="A118" s="54" t="s">
        <v>80</v>
      </c>
      <c r="B118" s="72">
        <f t="shared" si="1"/>
        <v>1.4327088568000002</v>
      </c>
      <c r="C118" s="54" t="s">
        <v>81</v>
      </c>
      <c r="D118" s="75">
        <f t="shared" si="2"/>
        <v>43.194315189899996</v>
      </c>
      <c r="E118" s="126" t="s">
        <v>82</v>
      </c>
      <c r="F118" s="119"/>
      <c r="G118" s="119"/>
      <c r="H118" s="127">
        <f t="shared" si="3"/>
        <v>92.744772058199999</v>
      </c>
      <c r="I118" s="119"/>
      <c r="J118" s="119"/>
      <c r="L118" s="17" t="s">
        <v>49</v>
      </c>
      <c r="M118" s="70">
        <f>[1]!b_stm07_bs(K107,88,L107,1)</f>
        <v>10768285568.719999</v>
      </c>
    </row>
    <row r="119" spans="1:21" ht="14.25" customHeight="1" x14ac:dyDescent="0.25">
      <c r="A119" s="54" t="s">
        <v>83</v>
      </c>
      <c r="B119" s="72">
        <f t="shared" si="1"/>
        <v>0.21982360059999997</v>
      </c>
      <c r="C119" s="54" t="s">
        <v>84</v>
      </c>
      <c r="D119" s="75">
        <f t="shared" si="2"/>
        <v>27.219894523099999</v>
      </c>
      <c r="E119" s="126" t="s">
        <v>85</v>
      </c>
      <c r="F119" s="119"/>
      <c r="G119" s="119"/>
      <c r="H119" s="128">
        <f t="shared" si="3"/>
        <v>362.13365843959997</v>
      </c>
      <c r="I119" s="119"/>
      <c r="J119" s="119"/>
      <c r="L119" s="17" t="s">
        <v>50</v>
      </c>
      <c r="M119" s="70">
        <f>[1]!b_stm07_bs(K107,147,L107,1)</f>
        <v>0</v>
      </c>
    </row>
    <row r="120" spans="1:21" ht="14.25" customHeight="1" x14ac:dyDescent="0.25">
      <c r="A120" s="54" t="s">
        <v>86</v>
      </c>
      <c r="B120" s="72">
        <f t="shared" si="1"/>
        <v>58.317507606899994</v>
      </c>
      <c r="C120" s="54" t="s">
        <v>87</v>
      </c>
      <c r="D120" s="75">
        <f t="shared" si="2"/>
        <v>0.40304743920000002</v>
      </c>
      <c r="E120" s="126" t="s">
        <v>88</v>
      </c>
      <c r="F120" s="119"/>
      <c r="G120" s="119"/>
      <c r="H120" s="127">
        <f t="shared" si="3"/>
        <v>406.88375454650003</v>
      </c>
      <c r="I120" s="119"/>
      <c r="J120" s="119"/>
      <c r="L120" s="17" t="s">
        <v>51</v>
      </c>
      <c r="M120" s="70">
        <f>[1]!b_stm07_bs(K107,94,L107,1)</f>
        <v>23289579793.049999</v>
      </c>
    </row>
    <row r="121" spans="1:21" ht="14.25" customHeight="1" x14ac:dyDescent="0.25">
      <c r="A121" s="54" t="s">
        <v>89</v>
      </c>
      <c r="B121" s="72">
        <f t="shared" si="1"/>
        <v>10.761967851</v>
      </c>
      <c r="C121" s="54" t="s">
        <v>90</v>
      </c>
      <c r="D121" s="75">
        <f t="shared" si="2"/>
        <v>9.1753388717999993</v>
      </c>
      <c r="E121" s="126" t="s">
        <v>91</v>
      </c>
      <c r="F121" s="119"/>
      <c r="G121" s="119"/>
      <c r="H121" s="127">
        <f t="shared" si="3"/>
        <v>72.617856577799998</v>
      </c>
      <c r="I121" s="119"/>
      <c r="J121" s="119"/>
      <c r="L121" s="17" t="s">
        <v>52</v>
      </c>
      <c r="M121" s="70">
        <f>[1]!b_stm07_bs(K107,95,L107,1)</f>
        <v>2490374766.1100001</v>
      </c>
    </row>
    <row r="122" spans="1:21" ht="14.25" customHeight="1" x14ac:dyDescent="0.25">
      <c r="A122" s="54" t="s">
        <v>92</v>
      </c>
      <c r="B122" s="72">
        <f t="shared" si="1"/>
        <v>8.3156610000000002E-3</v>
      </c>
      <c r="C122" s="54" t="s">
        <v>93</v>
      </c>
      <c r="D122" s="75">
        <f t="shared" si="2"/>
        <v>-0.2526058236</v>
      </c>
      <c r="E122" s="126" t="s">
        <v>94</v>
      </c>
      <c r="F122" s="119"/>
      <c r="G122" s="119"/>
      <c r="H122" s="128">
        <f t="shared" si="3"/>
        <v>485.54241268110002</v>
      </c>
      <c r="I122" s="119"/>
      <c r="J122" s="119"/>
      <c r="L122" s="17"/>
      <c r="M122" s="17"/>
    </row>
    <row r="123" spans="1:21" ht="14.25" customHeight="1" x14ac:dyDescent="0.25">
      <c r="A123" s="54" t="s">
        <v>95</v>
      </c>
      <c r="B123" s="78">
        <f t="shared" si="1"/>
        <v>882.03758400829997</v>
      </c>
      <c r="C123" s="54" t="s">
        <v>96</v>
      </c>
      <c r="D123" s="75">
        <f t="shared" si="2"/>
        <v>13.595980578299999</v>
      </c>
      <c r="E123" s="126" t="s">
        <v>97</v>
      </c>
      <c r="F123" s="119"/>
      <c r="G123" s="119"/>
      <c r="H123" s="128">
        <f t="shared" si="3"/>
        <v>-123.40875424149999</v>
      </c>
      <c r="I123" s="119"/>
      <c r="J123" s="119"/>
      <c r="L123" s="17" t="s">
        <v>53</v>
      </c>
      <c r="M123" s="70">
        <f>[1]!b_stm07_bs(K107,141,L107,1)</f>
        <v>10263208097.85</v>
      </c>
    </row>
    <row r="124" spans="1:21" ht="14.25" customHeight="1" x14ac:dyDescent="0.25">
      <c r="A124" s="54" t="s">
        <v>98</v>
      </c>
      <c r="B124" s="72">
        <f t="shared" si="1"/>
        <v>124.8607383467</v>
      </c>
      <c r="C124" s="54" t="s">
        <v>99</v>
      </c>
      <c r="D124" s="75">
        <f t="shared" si="2"/>
        <v>13.618788897</v>
      </c>
      <c r="E124" s="126" t="s">
        <v>100</v>
      </c>
      <c r="F124" s="119"/>
      <c r="G124" s="119"/>
      <c r="H124" s="128">
        <f t="shared" si="3"/>
        <v>-4.9176915408999999</v>
      </c>
      <c r="I124" s="119"/>
      <c r="J124" s="119"/>
      <c r="L124" s="17"/>
      <c r="M124" s="17"/>
    </row>
    <row r="125" spans="1:21" ht="27" customHeight="1" x14ac:dyDescent="0.25">
      <c r="A125" s="54" t="s">
        <v>101</v>
      </c>
      <c r="B125" s="72">
        <f t="shared" si="1"/>
        <v>107.68285568719999</v>
      </c>
      <c r="C125" s="54" t="s">
        <v>43</v>
      </c>
      <c r="D125" s="75">
        <f t="shared" si="2"/>
        <v>10.215646045</v>
      </c>
      <c r="E125" s="126" t="s">
        <v>102</v>
      </c>
      <c r="F125" s="119"/>
      <c r="G125" s="119"/>
      <c r="H125" s="127">
        <f t="shared" si="3"/>
        <v>15.3022551918</v>
      </c>
      <c r="I125" s="119"/>
      <c r="J125" s="119"/>
      <c r="L125" s="17"/>
      <c r="M125" s="17"/>
    </row>
    <row r="126" spans="1:21" ht="16.5" customHeight="1" x14ac:dyDescent="0.25">
      <c r="A126" s="54" t="s">
        <v>103</v>
      </c>
      <c r="B126" s="72">
        <f t="shared" si="1"/>
        <v>0</v>
      </c>
      <c r="C126" s="54"/>
      <c r="D126" s="79"/>
      <c r="E126" s="126" t="s">
        <v>104</v>
      </c>
      <c r="F126" s="119"/>
      <c r="G126" s="119"/>
      <c r="H126" s="127">
        <f t="shared" si="3"/>
        <v>486.05001492940005</v>
      </c>
      <c r="I126" s="119"/>
      <c r="J126" s="119"/>
      <c r="L126" s="129" t="s">
        <v>74</v>
      </c>
      <c r="M126" s="119"/>
      <c r="N126" s="129" t="s">
        <v>75</v>
      </c>
      <c r="O126" s="119"/>
      <c r="P126" s="120" t="s">
        <v>76</v>
      </c>
      <c r="Q126" s="119"/>
      <c r="R126" s="119"/>
      <c r="S126" s="130"/>
      <c r="T126" s="130"/>
      <c r="U126" s="130"/>
    </row>
    <row r="127" spans="1:21" ht="14.25" customHeight="1" x14ac:dyDescent="0.25">
      <c r="A127" s="54" t="s">
        <v>105</v>
      </c>
      <c r="B127" s="72">
        <f t="shared" si="1"/>
        <v>232.89579793049998</v>
      </c>
      <c r="C127" s="54"/>
      <c r="D127" s="79"/>
      <c r="E127" s="126" t="s">
        <v>106</v>
      </c>
      <c r="F127" s="119"/>
      <c r="G127" s="119"/>
      <c r="H127" s="127">
        <f t="shared" si="3"/>
        <v>24.803001800000001</v>
      </c>
      <c r="I127" s="119"/>
      <c r="J127" s="119"/>
      <c r="L127" s="54" t="s">
        <v>77</v>
      </c>
      <c r="M127" s="74">
        <f>[1]!b_stm07_bs(K107,9,L107,1)</f>
        <v>3024954063.4099998</v>
      </c>
      <c r="N127" s="54" t="s">
        <v>78</v>
      </c>
      <c r="O127" s="74">
        <f>[1]!b_stm07_is(K107,83,L107,1)</f>
        <v>5542557146.1300001</v>
      </c>
      <c r="P127" s="126" t="s">
        <v>79</v>
      </c>
      <c r="Q127" s="119"/>
      <c r="R127" s="119"/>
      <c r="S127" s="131">
        <f>[1]!b_stm07_cs(K107,9,L107,1)</f>
        <v>26938888638.139999</v>
      </c>
      <c r="T127" s="130"/>
      <c r="U127" s="130"/>
    </row>
    <row r="128" spans="1:21" ht="14.25" customHeight="1" x14ac:dyDescent="0.25">
      <c r="A128" s="54" t="s">
        <v>107</v>
      </c>
      <c r="B128" s="72">
        <f t="shared" si="1"/>
        <v>24.903747661100002</v>
      </c>
      <c r="C128" s="54"/>
      <c r="D128" s="79"/>
      <c r="E128" s="126" t="s">
        <v>108</v>
      </c>
      <c r="F128" s="119"/>
      <c r="G128" s="119"/>
      <c r="H128" s="128">
        <f t="shared" si="3"/>
        <v>526.46780980050005</v>
      </c>
      <c r="I128" s="119"/>
      <c r="J128" s="119"/>
      <c r="L128" s="54" t="s">
        <v>80</v>
      </c>
      <c r="M128" s="74">
        <f>[1]!b_stm07_bs(K107,12,L107,1)</f>
        <v>143270885.68000001</v>
      </c>
      <c r="N128" s="54" t="s">
        <v>81</v>
      </c>
      <c r="O128" s="74">
        <f>[1]!b_stm07_is(K107,84,L107,1)</f>
        <v>4319431518.9899998</v>
      </c>
      <c r="P128" s="126" t="s">
        <v>82</v>
      </c>
      <c r="Q128" s="119"/>
      <c r="R128" s="119"/>
      <c r="S128" s="131">
        <f>[1]!b_stm07_cs(K107,11,L107,1)</f>
        <v>9274477205.8199997</v>
      </c>
      <c r="T128" s="130"/>
      <c r="U128" s="130"/>
    </row>
    <row r="129" spans="1:21" ht="14.25" customHeight="1" x14ac:dyDescent="0.25">
      <c r="A129" s="54" t="s">
        <v>109</v>
      </c>
      <c r="B129" s="78">
        <f t="shared" si="1"/>
        <v>779.4055030298</v>
      </c>
      <c r="C129" s="14"/>
      <c r="D129" s="13"/>
      <c r="E129" s="126" t="s">
        <v>110</v>
      </c>
      <c r="F129" s="119"/>
      <c r="G129" s="119"/>
      <c r="H129" s="127">
        <f t="shared" si="3"/>
        <v>368.4012973033</v>
      </c>
      <c r="I129" s="119"/>
      <c r="J129" s="119"/>
      <c r="L129" s="54" t="s">
        <v>83</v>
      </c>
      <c r="M129" s="74">
        <f>[1]!b_stm07_bs(K107,13,L107,1)</f>
        <v>21982360.059999999</v>
      </c>
      <c r="N129" s="54" t="s">
        <v>84</v>
      </c>
      <c r="O129" s="74">
        <f>[1]!b_stm07_is(K107,10,L107,1)</f>
        <v>2721989452.3099999</v>
      </c>
      <c r="P129" s="126" t="s">
        <v>85</v>
      </c>
      <c r="Q129" s="119"/>
      <c r="R129" s="119"/>
      <c r="S129" s="132">
        <f>[1]!b_stm07_cs(K107,25,L107,1)</f>
        <v>36213365843.959999</v>
      </c>
      <c r="T129" s="130"/>
      <c r="U129" s="130"/>
    </row>
    <row r="130" spans="1:21" ht="14.25" customHeight="1" x14ac:dyDescent="0.25">
      <c r="A130" s="54" t="s">
        <v>111</v>
      </c>
      <c r="B130" s="78">
        <f t="shared" si="1"/>
        <v>102.6320809785</v>
      </c>
      <c r="C130" s="14"/>
      <c r="D130" s="13"/>
      <c r="E130" s="126" t="s">
        <v>112</v>
      </c>
      <c r="F130" s="119"/>
      <c r="G130" s="119"/>
      <c r="H130" s="127">
        <f t="shared" si="3"/>
        <v>397.35685555459997</v>
      </c>
      <c r="I130" s="119"/>
      <c r="J130" s="119"/>
      <c r="L130" s="54" t="s">
        <v>86</v>
      </c>
      <c r="M130" s="74">
        <f>[1]!b_stm07_bs(K107,31,L107,1)</f>
        <v>5831750760.6899996</v>
      </c>
      <c r="N130" s="54" t="s">
        <v>87</v>
      </c>
      <c r="O130" s="74">
        <f>[1]!b_stm07_is(K107,12,L107,1)</f>
        <v>40304743.920000002</v>
      </c>
      <c r="P130" s="126" t="s">
        <v>88</v>
      </c>
      <c r="Q130" s="119"/>
      <c r="R130" s="119"/>
      <c r="S130" s="131">
        <f>[1]!b_stm07_cs(K107,26,L107,1)</f>
        <v>40688375454.650002</v>
      </c>
      <c r="T130" s="130"/>
      <c r="U130" s="130"/>
    </row>
    <row r="131" spans="1:21" ht="14.25" customHeight="1" x14ac:dyDescent="0.25">
      <c r="A131" s="15" t="s">
        <v>113</v>
      </c>
      <c r="B131" s="78">
        <f t="shared" si="1"/>
        <v>882.03758400829997</v>
      </c>
      <c r="C131" s="14"/>
      <c r="D131" s="13"/>
      <c r="E131" s="126" t="s">
        <v>114</v>
      </c>
      <c r="F131" s="119"/>
      <c r="G131" s="119"/>
      <c r="H131" s="128">
        <f t="shared" si="3"/>
        <v>129.11095424589999</v>
      </c>
      <c r="I131" s="119"/>
      <c r="J131" s="119"/>
      <c r="L131" s="54" t="s">
        <v>89</v>
      </c>
      <c r="M131" s="74">
        <f>[1]!b_stm07_bs(K107,33,L107,1)</f>
        <v>1076196785.0999999</v>
      </c>
      <c r="N131" s="54" t="s">
        <v>90</v>
      </c>
      <c r="O131" s="74">
        <f>[1]!b_stm07_is(K107,13,L107,1)</f>
        <v>917533887.17999995</v>
      </c>
      <c r="P131" s="126" t="s">
        <v>91</v>
      </c>
      <c r="Q131" s="119"/>
      <c r="R131" s="119"/>
      <c r="S131" s="131">
        <f>[1]!b_stm07_cs(K107,29,L107,1)</f>
        <v>7261785657.7799997</v>
      </c>
      <c r="T131" s="130"/>
      <c r="U131" s="130"/>
    </row>
    <row r="132" spans="1:21" x14ac:dyDescent="0.25">
      <c r="L132" s="54" t="s">
        <v>92</v>
      </c>
      <c r="M132" s="74">
        <f>[1]!b_stm07_bs(K107,37,L107,1)</f>
        <v>831566.1</v>
      </c>
      <c r="N132" s="54" t="s">
        <v>93</v>
      </c>
      <c r="O132" s="74">
        <f>[1]!b_stm07_is(K107,14,L107,1)</f>
        <v>-25260582.359999999</v>
      </c>
      <c r="P132" s="126" t="s">
        <v>94</v>
      </c>
      <c r="Q132" s="119"/>
      <c r="R132" s="119"/>
      <c r="S132" s="132">
        <f>[1]!b_stm07_cs(K107,37,L107,1)</f>
        <v>48554241268.110001</v>
      </c>
      <c r="T132" s="130"/>
      <c r="U132" s="130"/>
    </row>
    <row r="133" spans="1:21" x14ac:dyDescent="0.25">
      <c r="L133" s="54" t="s">
        <v>95</v>
      </c>
      <c r="M133" s="80">
        <f>[1]!b_stm07_bs(K107,74,L107,1)</f>
        <v>88203758400.830002</v>
      </c>
      <c r="N133" s="54" t="s">
        <v>96</v>
      </c>
      <c r="O133" s="74">
        <f>[1]!b_stm07_is(K107,48,L107,1)</f>
        <v>1359598057.8299999</v>
      </c>
      <c r="P133" s="126" t="s">
        <v>97</v>
      </c>
      <c r="Q133" s="119"/>
      <c r="R133" s="119"/>
      <c r="S133" s="132">
        <f>[1]!b_stm07_cs(K107,39,L107,1)</f>
        <v>-12340875424.15</v>
      </c>
      <c r="T133" s="130"/>
      <c r="U133" s="130"/>
    </row>
    <row r="134" spans="1:21" x14ac:dyDescent="0.25">
      <c r="L134" s="54" t="s">
        <v>98</v>
      </c>
      <c r="M134" s="74">
        <f>[1]!b_stm07_bs(K107,75,L107,1)</f>
        <v>12486073834.67</v>
      </c>
      <c r="N134" s="54" t="s">
        <v>99</v>
      </c>
      <c r="O134" s="74">
        <f>[1]!b_stm07_is(K107,55,L107,1)</f>
        <v>1361878889.7</v>
      </c>
      <c r="P134" s="126" t="s">
        <v>100</v>
      </c>
      <c r="Q134" s="119"/>
      <c r="R134" s="119"/>
      <c r="S134" s="132">
        <f>[1]!b_stm07_cs(K107,59,L107,1)</f>
        <v>-491769154.08999997</v>
      </c>
      <c r="T134" s="130"/>
      <c r="U134" s="130"/>
    </row>
    <row r="135" spans="1:21" ht="32.4" customHeight="1" x14ac:dyDescent="0.25">
      <c r="L135" s="54" t="s">
        <v>101</v>
      </c>
      <c r="M135" s="74">
        <f>[1]!b_stm07_bs(K107,88,L107,1)</f>
        <v>10768285568.719999</v>
      </c>
      <c r="N135" s="54" t="s">
        <v>43</v>
      </c>
      <c r="O135" s="74">
        <f>[1]!b_stm07_is(K107,60,L107,1)</f>
        <v>1021564604.5</v>
      </c>
      <c r="P135" s="126" t="s">
        <v>102</v>
      </c>
      <c r="Q135" s="119"/>
      <c r="R135" s="119"/>
      <c r="S135" s="131">
        <f>[1]!b_stm07_cs(K107,60,L107,1)</f>
        <v>1530225519.1800001</v>
      </c>
      <c r="T135" s="130"/>
      <c r="U135" s="130"/>
    </row>
    <row r="136" spans="1:21" ht="21.6" customHeight="1" x14ac:dyDescent="0.25">
      <c r="L136" s="54" t="s">
        <v>103</v>
      </c>
      <c r="M136" s="74">
        <f>[1]!b_stm07_bs(K107,147,L107,1)</f>
        <v>0</v>
      </c>
      <c r="N136" s="54"/>
      <c r="O136" s="79"/>
      <c r="P136" s="126" t="s">
        <v>104</v>
      </c>
      <c r="Q136" s="119"/>
      <c r="R136" s="119"/>
      <c r="S136" s="131">
        <f>[1]!b_stm07_cs(K107,61,L107,1)</f>
        <v>48605001492.940002</v>
      </c>
      <c r="T136" s="130"/>
      <c r="U136" s="130"/>
    </row>
    <row r="137" spans="1:21" x14ac:dyDescent="0.25">
      <c r="L137" s="54" t="s">
        <v>105</v>
      </c>
      <c r="M137" s="74">
        <f>[1]!b_stm07_bs(K107,94,L107,1)</f>
        <v>23289579793.049999</v>
      </c>
      <c r="N137" s="54"/>
      <c r="O137" s="79"/>
      <c r="P137" s="126" t="s">
        <v>106</v>
      </c>
      <c r="Q137" s="119"/>
      <c r="R137" s="119"/>
      <c r="S137" s="131">
        <f>[1]!b_stm07_cs(K107,63,L107,1)</f>
        <v>2480300180</v>
      </c>
      <c r="T137" s="130"/>
      <c r="U137" s="130"/>
    </row>
    <row r="138" spans="1:21" x14ac:dyDescent="0.25">
      <c r="L138" s="54" t="s">
        <v>107</v>
      </c>
      <c r="M138" s="74">
        <f>[1]!b_stm07_bs(K107,95,L107,1)</f>
        <v>2490374766.1100001</v>
      </c>
      <c r="N138" s="54"/>
      <c r="O138" s="79"/>
      <c r="P138" s="126" t="s">
        <v>108</v>
      </c>
      <c r="Q138" s="119"/>
      <c r="R138" s="119"/>
      <c r="S138" s="132">
        <f>[1]!b_stm07_cs(K107,68,L107,1)</f>
        <v>52646780980.050003</v>
      </c>
      <c r="T138" s="130"/>
      <c r="U138" s="130"/>
    </row>
    <row r="139" spans="1:21" x14ac:dyDescent="0.25">
      <c r="L139" s="54" t="s">
        <v>109</v>
      </c>
      <c r="M139" s="80">
        <f>[1]!b_stm07_bs(K107,128,L107,1)</f>
        <v>77940550302.979996</v>
      </c>
      <c r="N139" s="14"/>
      <c r="O139" s="13"/>
      <c r="P139" s="126" t="s">
        <v>110</v>
      </c>
      <c r="Q139" s="119"/>
      <c r="R139" s="119"/>
      <c r="S139" s="131">
        <f>[1]!b_stm07_cs(K107,69,L107,1)</f>
        <v>36840129730.330002</v>
      </c>
      <c r="T139" s="130"/>
      <c r="U139" s="130"/>
    </row>
    <row r="140" spans="1:21" ht="21.6" customHeight="1" x14ac:dyDescent="0.25">
      <c r="L140" s="54" t="s">
        <v>111</v>
      </c>
      <c r="M140" s="80">
        <f>[1]!b_stm07_bs(K107,141,L107,1)</f>
        <v>10263208097.85</v>
      </c>
      <c r="N140" s="14"/>
      <c r="O140" s="13"/>
      <c r="P140" s="126" t="s">
        <v>112</v>
      </c>
      <c r="Q140" s="119"/>
      <c r="R140" s="119"/>
      <c r="S140" s="131">
        <f>[1]!b_stm07_cs(K107,75,L107,1)</f>
        <v>39735685555.459999</v>
      </c>
      <c r="T140" s="130"/>
      <c r="U140" s="130"/>
    </row>
    <row r="141" spans="1:21" ht="21.6" customHeight="1" x14ac:dyDescent="0.25">
      <c r="L141" s="15" t="s">
        <v>113</v>
      </c>
      <c r="M141" s="80">
        <f>[1]!b_stm07_bs(K107,145,L107,1)</f>
        <v>88203758400.830002</v>
      </c>
      <c r="N141" s="14"/>
      <c r="O141" s="13"/>
      <c r="P141" s="126" t="s">
        <v>114</v>
      </c>
      <c r="Q141" s="119"/>
      <c r="R141" s="119"/>
      <c r="S141" s="132">
        <f>[1]!b_stm07_cs(K107,77,L107,1)</f>
        <v>12911095424.59</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493</v>
      </c>
      <c r="C2" s="115"/>
      <c r="D2" s="57" t="s">
        <v>3</v>
      </c>
      <c r="E2" s="114" t="s">
        <v>494</v>
      </c>
      <c r="F2" s="115"/>
      <c r="G2" s="115"/>
    </row>
    <row r="3" spans="1:12" ht="14.25" customHeight="1" x14ac:dyDescent="0.25">
      <c r="A3" s="57" t="s">
        <v>4</v>
      </c>
      <c r="B3" s="114" t="s">
        <v>495</v>
      </c>
      <c r="C3" s="115"/>
      <c r="D3" s="57" t="s">
        <v>5</v>
      </c>
      <c r="E3" s="114" t="s">
        <v>496</v>
      </c>
      <c r="F3" s="115"/>
      <c r="G3" s="115"/>
    </row>
    <row r="4" spans="1:12" ht="113.25" customHeight="1" x14ac:dyDescent="0.25">
      <c r="A4" s="57" t="s">
        <v>6</v>
      </c>
      <c r="B4" s="116" t="s">
        <v>497</v>
      </c>
      <c r="C4" s="115"/>
      <c r="D4" s="115"/>
      <c r="E4" s="115"/>
      <c r="F4" s="115"/>
      <c r="G4" s="115"/>
    </row>
    <row r="5" spans="1:12" ht="14.4" x14ac:dyDescent="0.25">
      <c r="A5" s="81" t="s">
        <v>115</v>
      </c>
      <c r="B5" s="135" t="s">
        <v>498</v>
      </c>
      <c r="C5" s="115"/>
      <c r="D5" s="115"/>
      <c r="E5" s="115"/>
      <c r="F5" s="136">
        <v>0.49071998596191407</v>
      </c>
      <c r="G5" s="115"/>
    </row>
    <row r="6" spans="1:12" ht="11.25" customHeight="1" x14ac:dyDescent="0.25">
      <c r="A6" s="81" t="s">
        <v>116</v>
      </c>
      <c r="B6" s="135" t="s">
        <v>499</v>
      </c>
      <c r="C6" s="115"/>
      <c r="D6" s="115"/>
      <c r="E6" s="115"/>
      <c r="F6" s="136">
        <v>0.49064998626708983</v>
      </c>
      <c r="G6" s="115"/>
    </row>
    <row r="7" spans="1:12" ht="11.25" customHeight="1" x14ac:dyDescent="0.25">
      <c r="A7" s="81" t="s">
        <v>117</v>
      </c>
      <c r="B7" s="135" t="s">
        <v>500</v>
      </c>
      <c r="C7" s="115"/>
      <c r="D7" s="115"/>
      <c r="E7" s="115"/>
      <c r="F7" s="136">
        <v>1.36899995803833E-2</v>
      </c>
      <c r="G7" s="115"/>
    </row>
    <row r="8" spans="1:12" ht="11.25" customHeight="1" x14ac:dyDescent="0.25">
      <c r="A8" s="81" t="s">
        <v>118</v>
      </c>
      <c r="B8" s="135" t="s">
        <v>501</v>
      </c>
      <c r="C8" s="115"/>
      <c r="D8" s="115"/>
      <c r="E8" s="115"/>
      <c r="F8" s="136">
        <v>4.9399998784065251E-3</v>
      </c>
      <c r="G8" s="115"/>
    </row>
    <row r="9" spans="1:12" ht="11.25" customHeight="1" x14ac:dyDescent="0.25">
      <c r="A9" s="81" t="s">
        <v>119</v>
      </c>
      <c r="B9" s="135" t="s">
        <v>502</v>
      </c>
      <c r="C9" s="115"/>
      <c r="D9" s="115"/>
      <c r="E9" s="115"/>
      <c r="F9" s="136" t="s">
        <v>502</v>
      </c>
      <c r="G9" s="115"/>
    </row>
    <row r="11" spans="1:12" ht="14.4" customHeight="1" x14ac:dyDescent="0.25">
      <c r="A11" s="137" t="s">
        <v>120</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c r="E13" s="63">
        <v>3</v>
      </c>
      <c r="F13" s="64">
        <v>0</v>
      </c>
      <c r="G13" s="63">
        <v>0</v>
      </c>
    </row>
    <row r="14" spans="1:12" ht="14.4" customHeight="1" x14ac:dyDescent="0.25">
      <c r="A14" t="s">
        <v>124</v>
      </c>
      <c r="B14" t="s">
        <v>125</v>
      </c>
      <c r="C14" t="s">
        <v>126</v>
      </c>
      <c r="D14" s="63">
        <v>4.45</v>
      </c>
      <c r="E14" s="82">
        <v>2.9781420765027322</v>
      </c>
      <c r="F14" t="s">
        <v>25</v>
      </c>
      <c r="G14" s="63">
        <v>17</v>
      </c>
    </row>
    <row r="15" spans="1:12" ht="14.4" customHeight="1" x14ac:dyDescent="0.25">
      <c r="A15" t="s">
        <v>127</v>
      </c>
      <c r="B15" t="s">
        <v>128</v>
      </c>
      <c r="C15" t="s">
        <v>129</v>
      </c>
      <c r="D15" s="63">
        <v>4.2</v>
      </c>
      <c r="E15" s="82">
        <v>0.76164383561643834</v>
      </c>
      <c r="F15" t="s">
        <v>25</v>
      </c>
      <c r="G15" s="63">
        <v>4.4800000000000004</v>
      </c>
    </row>
    <row r="16" spans="1:12" ht="14.4" customHeight="1" x14ac:dyDescent="0.25">
      <c r="A16" t="s">
        <v>130</v>
      </c>
      <c r="B16" t="s">
        <v>128</v>
      </c>
      <c r="C16" t="s">
        <v>131</v>
      </c>
      <c r="D16" s="63">
        <v>4.5999999999999996</v>
      </c>
      <c r="E16" s="82">
        <v>1.7616438356164383</v>
      </c>
      <c r="F16" t="s">
        <v>25</v>
      </c>
      <c r="G16" s="63">
        <v>3</v>
      </c>
    </row>
    <row r="17" spans="1:7" ht="14.4" customHeight="1" x14ac:dyDescent="0.25">
      <c r="A17" t="s">
        <v>132</v>
      </c>
      <c r="B17" t="s">
        <v>128</v>
      </c>
      <c r="C17" t="s">
        <v>133</v>
      </c>
      <c r="D17" s="63">
        <v>5.2</v>
      </c>
      <c r="E17" s="82">
        <v>2.7616438356164386</v>
      </c>
      <c r="F17" t="s">
        <v>25</v>
      </c>
      <c r="G17" s="63">
        <v>1.86</v>
      </c>
    </row>
    <row r="18" spans="1:7" ht="14.4" customHeight="1" x14ac:dyDescent="0.25">
      <c r="A18" t="s">
        <v>134</v>
      </c>
      <c r="B18" t="s">
        <v>128</v>
      </c>
      <c r="C18" t="s">
        <v>135</v>
      </c>
      <c r="D18" s="63"/>
      <c r="E18" s="82">
        <v>4.0082191780821921</v>
      </c>
      <c r="F18">
        <v>0</v>
      </c>
      <c r="G18" s="63">
        <v>0.66</v>
      </c>
    </row>
    <row r="19" spans="1:7" ht="14.4" customHeight="1" x14ac:dyDescent="0.25">
      <c r="A19" t="s">
        <v>136</v>
      </c>
      <c r="B19" t="s">
        <v>137</v>
      </c>
      <c r="C19" t="s">
        <v>138</v>
      </c>
      <c r="D19" s="63">
        <v>3.45</v>
      </c>
      <c r="E19" s="82">
        <v>0.31232876712328766</v>
      </c>
      <c r="F19">
        <v>0</v>
      </c>
      <c r="G19" s="63">
        <v>7</v>
      </c>
    </row>
    <row r="20" spans="1:7" ht="14.4" customHeight="1" x14ac:dyDescent="0.25">
      <c r="A20" t="s">
        <v>139</v>
      </c>
      <c r="B20" t="s">
        <v>140</v>
      </c>
      <c r="C20" t="s">
        <v>141</v>
      </c>
      <c r="D20" s="63">
        <v>3.47</v>
      </c>
      <c r="E20" s="82">
        <v>0.88524590163934425</v>
      </c>
      <c r="F20" t="s">
        <v>503</v>
      </c>
      <c r="G20" s="63">
        <v>13</v>
      </c>
    </row>
    <row r="21" spans="1:7" ht="14.4" customHeight="1" x14ac:dyDescent="0.25">
      <c r="A21" t="s">
        <v>142</v>
      </c>
      <c r="B21" t="s">
        <v>143</v>
      </c>
      <c r="C21" t="s">
        <v>144</v>
      </c>
      <c r="D21" s="63">
        <v>3.1</v>
      </c>
      <c r="E21" s="82">
        <v>0</v>
      </c>
      <c r="F21">
        <v>0</v>
      </c>
      <c r="G21" s="63">
        <v>16</v>
      </c>
    </row>
    <row r="22" spans="1:7" ht="14.4" customHeight="1" x14ac:dyDescent="0.25">
      <c r="A22" t="s">
        <v>145</v>
      </c>
      <c r="B22" t="s">
        <v>146</v>
      </c>
      <c r="C22" t="s">
        <v>147</v>
      </c>
      <c r="D22" s="63">
        <v>4.0199999999999996</v>
      </c>
      <c r="E22" s="82">
        <v>4.7643835616438359</v>
      </c>
      <c r="F22" t="s">
        <v>25</v>
      </c>
      <c r="G22" s="63">
        <v>10</v>
      </c>
    </row>
    <row r="23" spans="1:7" ht="14.4" customHeight="1" x14ac:dyDescent="0.25">
      <c r="A23" t="s">
        <v>148</v>
      </c>
      <c r="B23" t="s">
        <v>149</v>
      </c>
      <c r="C23" t="s">
        <v>150</v>
      </c>
      <c r="D23" s="63">
        <v>3.18</v>
      </c>
      <c r="E23" s="82">
        <v>7.9452054794520555E-2</v>
      </c>
      <c r="F23">
        <v>0</v>
      </c>
      <c r="G23" s="63">
        <v>6</v>
      </c>
    </row>
    <row r="24" spans="1:7" ht="14.4" customHeight="1" x14ac:dyDescent="0.25">
      <c r="A24" t="s">
        <v>151</v>
      </c>
      <c r="B24" t="s">
        <v>152</v>
      </c>
      <c r="C24" t="s">
        <v>153</v>
      </c>
      <c r="D24" s="63">
        <v>3.36</v>
      </c>
      <c r="E24" s="82">
        <v>0.38630136986301372</v>
      </c>
      <c r="F24">
        <v>0</v>
      </c>
      <c r="G24" s="63">
        <v>10</v>
      </c>
    </row>
    <row r="25" spans="1:7" ht="14.4" customHeight="1" x14ac:dyDescent="0.25">
      <c r="A25" t="s">
        <v>154</v>
      </c>
      <c r="B25" t="s">
        <v>155</v>
      </c>
      <c r="C25" t="s">
        <v>156</v>
      </c>
      <c r="D25" s="63">
        <v>5.08</v>
      </c>
      <c r="E25" s="82">
        <v>4.6547945205479451</v>
      </c>
      <c r="F25" t="s">
        <v>25</v>
      </c>
      <c r="G25" s="63">
        <v>13.3</v>
      </c>
    </row>
    <row r="26" spans="1:7" ht="14.4" customHeight="1" x14ac:dyDescent="0.25">
      <c r="A26" t="s">
        <v>157</v>
      </c>
      <c r="B26" t="s">
        <v>158</v>
      </c>
      <c r="C26" t="s">
        <v>159</v>
      </c>
      <c r="D26" s="63">
        <v>3.64</v>
      </c>
      <c r="E26" s="82">
        <v>0.14520547945205478</v>
      </c>
      <c r="F26">
        <v>0</v>
      </c>
      <c r="G26" s="63">
        <v>9</v>
      </c>
    </row>
    <row r="27" spans="1:7" ht="14.4" customHeight="1" x14ac:dyDescent="0.25">
      <c r="A27" t="s">
        <v>160</v>
      </c>
      <c r="B27" t="s">
        <v>161</v>
      </c>
      <c r="C27" t="s">
        <v>162</v>
      </c>
      <c r="D27" s="63">
        <v>4.79</v>
      </c>
      <c r="E27" s="82">
        <v>1.6191780821917807</v>
      </c>
      <c r="F27">
        <v>0</v>
      </c>
      <c r="G27" s="63">
        <v>9</v>
      </c>
    </row>
    <row r="28" spans="1:7" ht="14.4" customHeight="1" x14ac:dyDescent="0.25">
      <c r="A28" t="s">
        <v>163</v>
      </c>
      <c r="B28" t="s">
        <v>164</v>
      </c>
      <c r="C28" t="s">
        <v>165</v>
      </c>
      <c r="D28" s="63">
        <v>4.7</v>
      </c>
      <c r="E28" s="82">
        <v>0.53698630136986303</v>
      </c>
      <c r="F28" t="s">
        <v>25</v>
      </c>
      <c r="G28" s="63">
        <v>8.8000000000000007</v>
      </c>
    </row>
    <row r="29" spans="1:7" ht="14.4" customHeight="1" x14ac:dyDescent="0.25">
      <c r="A29" t="s">
        <v>166</v>
      </c>
      <c r="B29" t="s">
        <v>164</v>
      </c>
      <c r="C29" t="s">
        <v>167</v>
      </c>
      <c r="D29" s="63">
        <v>5.0999999999999996</v>
      </c>
      <c r="E29" s="82">
        <v>2.2849315068493152</v>
      </c>
      <c r="F29" t="s">
        <v>25</v>
      </c>
      <c r="G29" s="63">
        <v>9.1999999999999993</v>
      </c>
    </row>
    <row r="30" spans="1:7" ht="14.4" customHeight="1" x14ac:dyDescent="0.25">
      <c r="A30" t="s">
        <v>168</v>
      </c>
      <c r="B30" t="s">
        <v>164</v>
      </c>
      <c r="C30" t="s">
        <v>169</v>
      </c>
      <c r="D30" s="63"/>
      <c r="E30" s="82">
        <v>4.2849315068493148</v>
      </c>
      <c r="F30">
        <v>0</v>
      </c>
      <c r="G30" s="63">
        <v>1.3512915999999999</v>
      </c>
    </row>
    <row r="31" spans="1:7" ht="14.4" customHeight="1" x14ac:dyDescent="0.25">
      <c r="A31" t="s">
        <v>170</v>
      </c>
      <c r="B31" t="s">
        <v>171</v>
      </c>
      <c r="C31" t="s">
        <v>172</v>
      </c>
      <c r="D31" s="63">
        <v>5.5</v>
      </c>
      <c r="E31" s="82">
        <v>2.5972602739726027</v>
      </c>
      <c r="F31" t="s">
        <v>25</v>
      </c>
      <c r="G31" s="63">
        <v>5</v>
      </c>
    </row>
    <row r="32" spans="1:7" ht="14.4" customHeight="1" x14ac:dyDescent="0.25">
      <c r="A32" t="s">
        <v>173</v>
      </c>
      <c r="B32" t="s">
        <v>174</v>
      </c>
      <c r="C32" t="s">
        <v>175</v>
      </c>
      <c r="D32" s="63">
        <v>4.3</v>
      </c>
      <c r="E32" s="82">
        <v>0</v>
      </c>
      <c r="F32" t="s">
        <v>25</v>
      </c>
      <c r="G32" s="63">
        <v>4.32</v>
      </c>
    </row>
    <row r="33" spans="1:7" ht="14.4" customHeight="1" x14ac:dyDescent="0.25">
      <c r="A33" t="s">
        <v>176</v>
      </c>
      <c r="B33" t="s">
        <v>174</v>
      </c>
      <c r="C33" t="s">
        <v>177</v>
      </c>
      <c r="D33" s="63">
        <v>6</v>
      </c>
      <c r="E33" s="82">
        <v>1.1041095890410959</v>
      </c>
      <c r="F33" t="s">
        <v>504</v>
      </c>
      <c r="G33" s="63">
        <v>1.32</v>
      </c>
    </row>
    <row r="34" spans="1:7" ht="14.4" customHeight="1" x14ac:dyDescent="0.25">
      <c r="A34" t="s">
        <v>178</v>
      </c>
      <c r="B34" t="s">
        <v>174</v>
      </c>
      <c r="C34" t="s">
        <v>179</v>
      </c>
      <c r="D34" s="63"/>
      <c r="E34" s="82">
        <v>1.8602739726027397</v>
      </c>
      <c r="F34">
        <v>0</v>
      </c>
      <c r="G34" s="63">
        <v>0.36</v>
      </c>
    </row>
    <row r="35" spans="1:7" ht="14.4" customHeight="1" x14ac:dyDescent="0.25">
      <c r="A35" t="s">
        <v>180</v>
      </c>
      <c r="B35" t="s">
        <v>181</v>
      </c>
      <c r="C35" t="s">
        <v>182</v>
      </c>
      <c r="D35" s="63">
        <v>5.23</v>
      </c>
      <c r="E35" s="82">
        <v>2.5726027397260274</v>
      </c>
      <c r="F35">
        <v>0</v>
      </c>
      <c r="G35" s="63">
        <v>11</v>
      </c>
    </row>
    <row r="36" spans="1:7" ht="14.4" customHeight="1" x14ac:dyDescent="0.25">
      <c r="A36" t="s">
        <v>183</v>
      </c>
      <c r="B36" t="s">
        <v>184</v>
      </c>
      <c r="C36" t="s">
        <v>185</v>
      </c>
      <c r="D36" s="63">
        <v>3.78</v>
      </c>
      <c r="E36" s="82">
        <v>0.21095890410958903</v>
      </c>
      <c r="F36">
        <v>0</v>
      </c>
      <c r="G36" s="63">
        <v>12</v>
      </c>
    </row>
    <row r="37" spans="1:7" ht="14.4" customHeight="1" x14ac:dyDescent="0.25">
      <c r="A37" t="s">
        <v>186</v>
      </c>
      <c r="B37" t="s">
        <v>187</v>
      </c>
      <c r="C37" t="s">
        <v>188</v>
      </c>
      <c r="D37" s="63">
        <v>5.0999999999999996</v>
      </c>
      <c r="E37" s="82">
        <v>1.5013698630136987</v>
      </c>
      <c r="F37">
        <v>0</v>
      </c>
      <c r="G37" s="63">
        <v>10</v>
      </c>
    </row>
    <row r="38" spans="1:7" ht="14.4" customHeight="1" x14ac:dyDescent="0.25">
      <c r="A38" t="s">
        <v>189</v>
      </c>
      <c r="B38" t="s">
        <v>190</v>
      </c>
      <c r="C38" t="s">
        <v>191</v>
      </c>
      <c r="D38" s="63">
        <v>4.34</v>
      </c>
      <c r="E38" s="82">
        <v>2.493150684931507</v>
      </c>
      <c r="F38" t="s">
        <v>25</v>
      </c>
      <c r="G38" s="63">
        <v>10</v>
      </c>
    </row>
    <row r="39" spans="1:7" ht="14.4" customHeight="1" x14ac:dyDescent="0.25">
      <c r="A39" t="s">
        <v>192</v>
      </c>
      <c r="B39" t="s">
        <v>193</v>
      </c>
      <c r="C39" t="s">
        <v>194</v>
      </c>
      <c r="D39" s="63">
        <v>5.23</v>
      </c>
      <c r="E39" s="82">
        <v>2.441095890410959</v>
      </c>
      <c r="F39" t="s">
        <v>25</v>
      </c>
      <c r="G39" s="63">
        <v>10</v>
      </c>
    </row>
    <row r="40" spans="1:7" ht="14.4" customHeight="1" x14ac:dyDescent="0.25">
      <c r="A40" t="s">
        <v>195</v>
      </c>
      <c r="B40" t="s">
        <v>196</v>
      </c>
      <c r="C40" t="s">
        <v>197</v>
      </c>
      <c r="D40" s="63">
        <v>5.45</v>
      </c>
      <c r="E40" s="82">
        <v>2.3232876712328769</v>
      </c>
      <c r="F40" t="s">
        <v>25</v>
      </c>
      <c r="G40" s="63">
        <v>10</v>
      </c>
    </row>
    <row r="41" spans="1:7" ht="14.4" customHeight="1" x14ac:dyDescent="0.25">
      <c r="A41" t="s">
        <v>198</v>
      </c>
      <c r="B41" t="s">
        <v>199</v>
      </c>
      <c r="C41" t="s">
        <v>200</v>
      </c>
      <c r="D41" s="63">
        <v>5.23</v>
      </c>
      <c r="E41" s="82">
        <v>1.2821917808219179</v>
      </c>
      <c r="F41" t="s">
        <v>25</v>
      </c>
      <c r="G41" s="63">
        <v>10</v>
      </c>
    </row>
    <row r="42" spans="1:7" ht="14.4" customHeight="1" x14ac:dyDescent="0.25">
      <c r="A42" t="s">
        <v>201</v>
      </c>
      <c r="B42" t="s">
        <v>202</v>
      </c>
      <c r="C42" t="s">
        <v>203</v>
      </c>
      <c r="D42" s="63">
        <v>3.77</v>
      </c>
      <c r="E42" s="82">
        <v>0</v>
      </c>
      <c r="F42">
        <v>0</v>
      </c>
      <c r="G42" s="63">
        <v>6</v>
      </c>
    </row>
    <row r="43" spans="1:7" ht="14.4" customHeight="1" x14ac:dyDescent="0.25">
      <c r="A43" t="s">
        <v>204</v>
      </c>
      <c r="B43" t="s">
        <v>205</v>
      </c>
      <c r="C43" t="s">
        <v>206</v>
      </c>
      <c r="D43" s="63">
        <v>6.18</v>
      </c>
      <c r="E43" s="82">
        <v>2.2630136986301368</v>
      </c>
      <c r="F43">
        <v>0</v>
      </c>
      <c r="G43" s="63">
        <v>10</v>
      </c>
    </row>
    <row r="44" spans="1:7" ht="14.4" customHeight="1" x14ac:dyDescent="0.25">
      <c r="A44" t="s">
        <v>207</v>
      </c>
      <c r="B44" t="s">
        <v>208</v>
      </c>
      <c r="C44" t="s">
        <v>209</v>
      </c>
      <c r="D44" s="63">
        <v>6</v>
      </c>
      <c r="E44" s="82">
        <v>2.2547945205479452</v>
      </c>
      <c r="F44" t="s">
        <v>25</v>
      </c>
      <c r="G44" s="63">
        <v>10.5</v>
      </c>
    </row>
    <row r="45" spans="1:7" ht="14.4" customHeight="1" x14ac:dyDescent="0.25">
      <c r="A45" t="s">
        <v>210</v>
      </c>
      <c r="B45" t="s">
        <v>208</v>
      </c>
      <c r="C45" t="s">
        <v>211</v>
      </c>
      <c r="D45" s="63">
        <v>6.19</v>
      </c>
      <c r="E45" s="82">
        <v>4.2547945205479456</v>
      </c>
      <c r="F45" t="s">
        <v>25</v>
      </c>
      <c r="G45" s="63">
        <v>6.2</v>
      </c>
    </row>
    <row r="46" spans="1:7" ht="14.4" customHeight="1" x14ac:dyDescent="0.25">
      <c r="A46" t="s">
        <v>212</v>
      </c>
      <c r="B46" t="s">
        <v>213</v>
      </c>
      <c r="C46" t="s">
        <v>214</v>
      </c>
      <c r="D46" s="63">
        <v>3.75</v>
      </c>
      <c r="E46" s="82">
        <v>0</v>
      </c>
      <c r="F46">
        <v>0</v>
      </c>
      <c r="G46" s="63">
        <v>5</v>
      </c>
    </row>
    <row r="47" spans="1:7" ht="14.4" customHeight="1" x14ac:dyDescent="0.25">
      <c r="A47" t="s">
        <v>215</v>
      </c>
      <c r="B47" t="s">
        <v>216</v>
      </c>
      <c r="C47" t="s">
        <v>217</v>
      </c>
      <c r="D47" s="63">
        <v>4.8</v>
      </c>
      <c r="E47" s="82">
        <v>0</v>
      </c>
      <c r="F47">
        <v>0</v>
      </c>
      <c r="G47" s="63">
        <v>10</v>
      </c>
    </row>
    <row r="48" spans="1:7" ht="14.4" customHeight="1" x14ac:dyDescent="0.25">
      <c r="A48" t="s">
        <v>218</v>
      </c>
      <c r="B48" t="s">
        <v>219</v>
      </c>
      <c r="C48" t="s">
        <v>220</v>
      </c>
      <c r="D48" s="63">
        <v>5.03</v>
      </c>
      <c r="E48" s="82">
        <v>0</v>
      </c>
      <c r="F48">
        <v>0</v>
      </c>
      <c r="G48" s="63">
        <v>10</v>
      </c>
    </row>
    <row r="49" spans="1:7" ht="14.4" customHeight="1" x14ac:dyDescent="0.25">
      <c r="A49" t="s">
        <v>221</v>
      </c>
      <c r="B49" t="s">
        <v>222</v>
      </c>
      <c r="C49" t="s">
        <v>223</v>
      </c>
      <c r="D49" s="63">
        <v>4.8499999999999996</v>
      </c>
      <c r="E49" s="82">
        <v>0</v>
      </c>
      <c r="F49">
        <v>0</v>
      </c>
      <c r="G49" s="63">
        <v>15</v>
      </c>
    </row>
    <row r="50" spans="1:7" ht="14.4" customHeight="1" x14ac:dyDescent="0.25">
      <c r="A50" t="s">
        <v>224</v>
      </c>
      <c r="B50" t="s">
        <v>225</v>
      </c>
      <c r="C50" t="s">
        <v>226</v>
      </c>
      <c r="D50" s="63">
        <v>4.7300000000000004</v>
      </c>
      <c r="E50" s="82">
        <v>0</v>
      </c>
      <c r="F50">
        <v>0</v>
      </c>
      <c r="G50" s="63">
        <v>12</v>
      </c>
    </row>
    <row r="51" spans="1:7" ht="14.4" customHeight="1" x14ac:dyDescent="0.25">
      <c r="A51" t="s">
        <v>227</v>
      </c>
      <c r="B51" t="s">
        <v>228</v>
      </c>
      <c r="C51" t="s">
        <v>229</v>
      </c>
      <c r="D51" s="63">
        <v>4.75</v>
      </c>
      <c r="E51" s="82">
        <v>0</v>
      </c>
      <c r="F51">
        <v>0</v>
      </c>
      <c r="G51" s="63">
        <v>12</v>
      </c>
    </row>
    <row r="52" spans="1:7" ht="14.4" customHeight="1" x14ac:dyDescent="0.25">
      <c r="A52" t="s">
        <v>230</v>
      </c>
      <c r="B52" t="s">
        <v>231</v>
      </c>
      <c r="C52" t="s">
        <v>232</v>
      </c>
      <c r="D52" s="63">
        <v>4.78</v>
      </c>
      <c r="E52" s="82">
        <v>0</v>
      </c>
      <c r="F52">
        <v>0</v>
      </c>
      <c r="G52" s="63">
        <v>10</v>
      </c>
    </row>
    <row r="53" spans="1:7" ht="14.4" customHeight="1" x14ac:dyDescent="0.25">
      <c r="A53" t="s">
        <v>233</v>
      </c>
      <c r="B53" t="s">
        <v>234</v>
      </c>
      <c r="C53" t="s">
        <v>235</v>
      </c>
      <c r="D53" s="63">
        <v>6.4</v>
      </c>
      <c r="E53" s="82">
        <v>2.021917808219178</v>
      </c>
      <c r="F53" t="s">
        <v>25</v>
      </c>
      <c r="G53" s="63">
        <v>10</v>
      </c>
    </row>
    <row r="54" spans="1:7" ht="14.4" customHeight="1" x14ac:dyDescent="0.25">
      <c r="A54" t="s">
        <v>236</v>
      </c>
      <c r="B54" t="s">
        <v>237</v>
      </c>
      <c r="C54" t="s">
        <v>238</v>
      </c>
      <c r="D54" s="63">
        <v>4.67</v>
      </c>
      <c r="E54" s="82">
        <v>5.4794520547945206E-3</v>
      </c>
      <c r="F54" t="s">
        <v>503</v>
      </c>
      <c r="G54" s="63">
        <v>9</v>
      </c>
    </row>
    <row r="55" spans="1:7" ht="14.4" customHeight="1" x14ac:dyDescent="0.25">
      <c r="A55" t="s">
        <v>239</v>
      </c>
      <c r="B55" t="s">
        <v>240</v>
      </c>
      <c r="C55" t="s">
        <v>241</v>
      </c>
      <c r="D55" s="63">
        <v>5.99</v>
      </c>
      <c r="E55" s="82">
        <v>1.9207650273224044</v>
      </c>
      <c r="F55">
        <v>0</v>
      </c>
      <c r="G55" s="63">
        <v>7</v>
      </c>
    </row>
    <row r="56" spans="1:7" ht="14.4" customHeight="1" x14ac:dyDescent="0.25">
      <c r="A56" t="s">
        <v>242</v>
      </c>
      <c r="B56" t="s">
        <v>243</v>
      </c>
      <c r="C56" t="s">
        <v>244</v>
      </c>
      <c r="D56" s="63">
        <v>5.7</v>
      </c>
      <c r="E56" s="82">
        <v>0</v>
      </c>
      <c r="F56">
        <v>0</v>
      </c>
      <c r="G56" s="63">
        <v>10</v>
      </c>
    </row>
    <row r="57" spans="1:7" ht="14.4" customHeight="1" x14ac:dyDescent="0.25">
      <c r="A57" t="s">
        <v>245</v>
      </c>
      <c r="B57" t="s">
        <v>246</v>
      </c>
      <c r="C57" t="s">
        <v>247</v>
      </c>
      <c r="D57" s="63">
        <v>5.23</v>
      </c>
      <c r="E57" s="82">
        <v>0</v>
      </c>
      <c r="F57">
        <v>0</v>
      </c>
      <c r="G57" s="63">
        <v>10</v>
      </c>
    </row>
    <row r="58" spans="1:7" ht="14.4" customHeight="1" x14ac:dyDescent="0.25">
      <c r="A58" t="s">
        <v>248</v>
      </c>
      <c r="B58" t="s">
        <v>249</v>
      </c>
      <c r="C58" t="s">
        <v>250</v>
      </c>
      <c r="D58" s="63">
        <v>5.8</v>
      </c>
      <c r="E58" s="82">
        <v>3.8082191780821919</v>
      </c>
      <c r="F58" t="s">
        <v>25</v>
      </c>
      <c r="G58" s="63">
        <v>13</v>
      </c>
    </row>
    <row r="59" spans="1:7" ht="14.4" customHeight="1" x14ac:dyDescent="0.25">
      <c r="A59" t="s">
        <v>251</v>
      </c>
      <c r="B59" t="s">
        <v>252</v>
      </c>
      <c r="C59" t="s">
        <v>253</v>
      </c>
      <c r="D59" s="63">
        <v>5.3</v>
      </c>
      <c r="E59" s="82">
        <v>0</v>
      </c>
      <c r="F59">
        <v>0</v>
      </c>
      <c r="G59" s="63">
        <v>10</v>
      </c>
    </row>
    <row r="60" spans="1:7" ht="14.4" customHeight="1" x14ac:dyDescent="0.25">
      <c r="A60" t="s">
        <v>254</v>
      </c>
      <c r="B60" t="s">
        <v>255</v>
      </c>
      <c r="C60" t="s">
        <v>256</v>
      </c>
      <c r="D60" s="63">
        <v>5.5</v>
      </c>
      <c r="E60" s="82">
        <v>1.7534246575342465</v>
      </c>
      <c r="F60" t="s">
        <v>25</v>
      </c>
      <c r="G60" s="63">
        <v>15</v>
      </c>
    </row>
    <row r="61" spans="1:7" ht="14.4" customHeight="1" x14ac:dyDescent="0.25">
      <c r="A61" t="s">
        <v>257</v>
      </c>
      <c r="B61" t="s">
        <v>258</v>
      </c>
      <c r="C61" t="s">
        <v>259</v>
      </c>
      <c r="D61" s="63">
        <v>5.8</v>
      </c>
      <c r="E61" s="82">
        <v>0</v>
      </c>
      <c r="F61">
        <v>0</v>
      </c>
      <c r="G61" s="63">
        <v>10</v>
      </c>
    </row>
    <row r="62" spans="1:7" ht="14.4" customHeight="1" x14ac:dyDescent="0.25">
      <c r="A62" t="s">
        <v>260</v>
      </c>
      <c r="B62" t="s">
        <v>261</v>
      </c>
      <c r="C62" t="s">
        <v>262</v>
      </c>
      <c r="D62" s="63">
        <v>6.4</v>
      </c>
      <c r="E62" s="82">
        <v>1.6904109589041096</v>
      </c>
      <c r="F62">
        <v>0</v>
      </c>
      <c r="G62" s="63">
        <v>10</v>
      </c>
    </row>
    <row r="63" spans="1:7" ht="14.4" customHeight="1" x14ac:dyDescent="0.25">
      <c r="A63" t="s">
        <v>263</v>
      </c>
      <c r="B63" t="s">
        <v>264</v>
      </c>
      <c r="C63" t="s">
        <v>265</v>
      </c>
      <c r="D63" s="63">
        <v>5.36</v>
      </c>
      <c r="E63" s="82">
        <v>0</v>
      </c>
      <c r="F63">
        <v>0</v>
      </c>
      <c r="G63" s="63">
        <v>15</v>
      </c>
    </row>
    <row r="64" spans="1:7" ht="14.4" customHeight="1" x14ac:dyDescent="0.25">
      <c r="A64" t="s">
        <v>266</v>
      </c>
      <c r="B64" t="s">
        <v>267</v>
      </c>
      <c r="C64" t="s">
        <v>268</v>
      </c>
      <c r="D64" s="63">
        <v>5</v>
      </c>
      <c r="E64" s="82">
        <v>0</v>
      </c>
      <c r="F64" t="s">
        <v>503</v>
      </c>
      <c r="G64" s="63">
        <v>1</v>
      </c>
    </row>
    <row r="65" spans="1:7" ht="14.4" customHeight="1" x14ac:dyDescent="0.25">
      <c r="A65" t="s">
        <v>269</v>
      </c>
      <c r="B65" t="s">
        <v>270</v>
      </c>
      <c r="C65" t="s">
        <v>271</v>
      </c>
      <c r="D65" s="63">
        <v>5.3</v>
      </c>
      <c r="E65" s="82">
        <v>1.6027397260273972</v>
      </c>
      <c r="F65" t="s">
        <v>25</v>
      </c>
      <c r="G65" s="63">
        <v>5</v>
      </c>
    </row>
    <row r="66" spans="1:7" ht="14.4" customHeight="1" x14ac:dyDescent="0.25">
      <c r="A66" t="s">
        <v>272</v>
      </c>
      <c r="B66" t="s">
        <v>273</v>
      </c>
      <c r="C66" t="s">
        <v>274</v>
      </c>
      <c r="D66" s="63">
        <v>4.93</v>
      </c>
      <c r="E66" s="82">
        <v>0</v>
      </c>
      <c r="F66" t="s">
        <v>503</v>
      </c>
      <c r="G66" s="63">
        <v>6</v>
      </c>
    </row>
    <row r="67" spans="1:7" ht="14.4" customHeight="1" x14ac:dyDescent="0.25">
      <c r="A67" t="s">
        <v>275</v>
      </c>
      <c r="B67" t="s">
        <v>276</v>
      </c>
      <c r="C67" t="s">
        <v>277</v>
      </c>
      <c r="D67" s="63">
        <v>5.5</v>
      </c>
      <c r="E67" s="82">
        <v>1.515068493150685</v>
      </c>
      <c r="F67">
        <v>0</v>
      </c>
      <c r="G67" s="63">
        <v>10</v>
      </c>
    </row>
    <row r="68" spans="1:7" ht="14.4" customHeight="1" x14ac:dyDescent="0.25">
      <c r="A68" t="s">
        <v>278</v>
      </c>
      <c r="B68" t="s">
        <v>279</v>
      </c>
      <c r="C68" t="s">
        <v>280</v>
      </c>
      <c r="D68" s="63">
        <v>4.78</v>
      </c>
      <c r="E68" s="82">
        <v>0</v>
      </c>
      <c r="F68">
        <v>0</v>
      </c>
      <c r="G68" s="63">
        <v>10</v>
      </c>
    </row>
    <row r="69" spans="1:7" ht="14.4" customHeight="1" x14ac:dyDescent="0.25">
      <c r="A69" t="s">
        <v>281</v>
      </c>
      <c r="B69" t="s">
        <v>282</v>
      </c>
      <c r="C69" t="s">
        <v>283</v>
      </c>
      <c r="D69" s="63">
        <v>5.5</v>
      </c>
      <c r="E69" s="82">
        <v>1.3917808219178083</v>
      </c>
      <c r="F69">
        <v>0</v>
      </c>
      <c r="G69" s="63">
        <v>10</v>
      </c>
    </row>
    <row r="70" spans="1:7" ht="14.4" customHeight="1" x14ac:dyDescent="0.25">
      <c r="A70" t="s">
        <v>284</v>
      </c>
      <c r="B70" t="s">
        <v>285</v>
      </c>
      <c r="C70" t="s">
        <v>286</v>
      </c>
      <c r="D70" s="63">
        <v>4.58</v>
      </c>
      <c r="E70" s="82">
        <v>0</v>
      </c>
      <c r="F70">
        <v>0</v>
      </c>
      <c r="G70" s="63">
        <v>12</v>
      </c>
    </row>
    <row r="71" spans="1:7" ht="14.4" customHeight="1" x14ac:dyDescent="0.25">
      <c r="A71" t="s">
        <v>287</v>
      </c>
      <c r="B71" t="s">
        <v>288</v>
      </c>
      <c r="C71" t="s">
        <v>289</v>
      </c>
      <c r="D71" s="63">
        <v>4.75</v>
      </c>
      <c r="E71" s="82">
        <v>1.2958904109589042</v>
      </c>
      <c r="F71" t="s">
        <v>25</v>
      </c>
      <c r="G71" s="63">
        <v>5</v>
      </c>
    </row>
    <row r="72" spans="1:7" ht="14.4" customHeight="1" x14ac:dyDescent="0.25">
      <c r="A72" t="s">
        <v>290</v>
      </c>
      <c r="B72" t="s">
        <v>291</v>
      </c>
      <c r="C72" t="s">
        <v>292</v>
      </c>
      <c r="D72" s="63">
        <v>4.55</v>
      </c>
      <c r="E72" s="82">
        <v>0</v>
      </c>
      <c r="F72">
        <v>0</v>
      </c>
      <c r="G72" s="63">
        <v>14</v>
      </c>
    </row>
    <row r="73" spans="1:7" ht="14.4" customHeight="1" x14ac:dyDescent="0.25">
      <c r="A73" t="s">
        <v>293</v>
      </c>
      <c r="B73" t="s">
        <v>294</v>
      </c>
      <c r="C73" t="s">
        <v>295</v>
      </c>
      <c r="D73" s="63">
        <v>4.55</v>
      </c>
      <c r="E73" s="82">
        <v>0</v>
      </c>
      <c r="F73">
        <v>0</v>
      </c>
      <c r="G73" s="63">
        <v>9</v>
      </c>
    </row>
    <row r="74" spans="1:7" ht="14.4" customHeight="1" x14ac:dyDescent="0.25">
      <c r="A74" t="s">
        <v>296</v>
      </c>
      <c r="B74" t="s">
        <v>297</v>
      </c>
      <c r="C74" t="s">
        <v>298</v>
      </c>
      <c r="D74" s="63">
        <v>5.8</v>
      </c>
      <c r="E74" s="82">
        <v>1.1616438356164385</v>
      </c>
      <c r="F74">
        <v>0</v>
      </c>
      <c r="G74" s="63">
        <v>10</v>
      </c>
    </row>
    <row r="75" spans="1:7" ht="14.4" customHeight="1" x14ac:dyDescent="0.25">
      <c r="A75" t="s">
        <v>299</v>
      </c>
      <c r="B75" t="s">
        <v>300</v>
      </c>
      <c r="C75" t="s">
        <v>301</v>
      </c>
      <c r="D75" s="63">
        <v>5.0999999999999996</v>
      </c>
      <c r="E75" s="82">
        <v>0</v>
      </c>
      <c r="F75">
        <v>0</v>
      </c>
      <c r="G75" s="63">
        <v>10</v>
      </c>
    </row>
    <row r="76" spans="1:7" ht="14.4" customHeight="1" x14ac:dyDescent="0.25">
      <c r="A76" t="s">
        <v>302</v>
      </c>
      <c r="B76" t="s">
        <v>303</v>
      </c>
      <c r="C76" t="s">
        <v>304</v>
      </c>
      <c r="D76" s="63">
        <v>5.3</v>
      </c>
      <c r="E76" s="82">
        <v>0</v>
      </c>
      <c r="F76" t="s">
        <v>503</v>
      </c>
      <c r="G76" s="63">
        <v>7</v>
      </c>
    </row>
    <row r="77" spans="1:7" ht="14.4" customHeight="1" x14ac:dyDescent="0.25">
      <c r="A77" t="s">
        <v>305</v>
      </c>
      <c r="B77" t="s">
        <v>306</v>
      </c>
      <c r="C77" t="s">
        <v>307</v>
      </c>
      <c r="D77" s="63">
        <v>5.47</v>
      </c>
      <c r="E77" s="82">
        <v>0</v>
      </c>
      <c r="F77">
        <v>0</v>
      </c>
      <c r="G77" s="63">
        <v>3</v>
      </c>
    </row>
    <row r="78" spans="1:7" ht="14.4" customHeight="1" x14ac:dyDescent="0.25">
      <c r="A78" t="s">
        <v>308</v>
      </c>
      <c r="B78" t="s">
        <v>309</v>
      </c>
      <c r="C78" t="s">
        <v>310</v>
      </c>
      <c r="D78" s="63">
        <v>5.6</v>
      </c>
      <c r="E78" s="82">
        <v>1.0849315068493151</v>
      </c>
      <c r="F78">
        <v>0</v>
      </c>
      <c r="G78" s="63">
        <v>10</v>
      </c>
    </row>
    <row r="79" spans="1:7" ht="14.4" customHeight="1" x14ac:dyDescent="0.25">
      <c r="A79" t="s">
        <v>311</v>
      </c>
      <c r="B79" t="s">
        <v>312</v>
      </c>
      <c r="C79" t="s">
        <v>313</v>
      </c>
      <c r="D79" s="63">
        <v>5.49</v>
      </c>
      <c r="E79" s="82">
        <v>1.0602739726027397</v>
      </c>
      <c r="F79">
        <v>0</v>
      </c>
      <c r="G79" s="63">
        <v>5</v>
      </c>
    </row>
    <row r="80" spans="1:7" ht="14.4" customHeight="1" x14ac:dyDescent="0.25">
      <c r="A80" t="s">
        <v>314</v>
      </c>
      <c r="B80" t="s">
        <v>315</v>
      </c>
      <c r="C80" t="s">
        <v>316</v>
      </c>
      <c r="D80" s="63">
        <v>4.8099999999999996</v>
      </c>
      <c r="E80" s="82">
        <v>0</v>
      </c>
      <c r="F80" t="s">
        <v>503</v>
      </c>
      <c r="G80" s="63">
        <v>6</v>
      </c>
    </row>
    <row r="81" spans="1:7" ht="14.4" customHeight="1" x14ac:dyDescent="0.25">
      <c r="A81" t="s">
        <v>317</v>
      </c>
      <c r="B81" t="s">
        <v>318</v>
      </c>
      <c r="C81" t="s">
        <v>319</v>
      </c>
      <c r="D81" s="63">
        <v>4.8499999999999996</v>
      </c>
      <c r="E81" s="82">
        <v>0</v>
      </c>
      <c r="F81">
        <v>0</v>
      </c>
      <c r="G81" s="63">
        <v>10</v>
      </c>
    </row>
    <row r="82" spans="1:7" ht="14.4" customHeight="1" x14ac:dyDescent="0.25">
      <c r="A82" t="s">
        <v>320</v>
      </c>
      <c r="B82" t="s">
        <v>321</v>
      </c>
      <c r="C82" t="s">
        <v>322</v>
      </c>
      <c r="D82" s="63">
        <v>4.4800000000000004</v>
      </c>
      <c r="E82" s="82">
        <v>0</v>
      </c>
      <c r="F82">
        <v>0</v>
      </c>
      <c r="G82" s="63">
        <v>10</v>
      </c>
    </row>
    <row r="83" spans="1:7" ht="14.4" customHeight="1" x14ac:dyDescent="0.25">
      <c r="A83" t="s">
        <v>323</v>
      </c>
      <c r="B83" t="s">
        <v>324</v>
      </c>
      <c r="C83" t="s">
        <v>325</v>
      </c>
      <c r="D83" s="63">
        <v>4.68</v>
      </c>
      <c r="E83" s="82">
        <v>0</v>
      </c>
      <c r="F83">
        <v>0</v>
      </c>
      <c r="G83" s="63">
        <v>5</v>
      </c>
    </row>
    <row r="84" spans="1:7" ht="14.4" customHeight="1" x14ac:dyDescent="0.25">
      <c r="A84" t="s">
        <v>326</v>
      </c>
      <c r="B84" t="s">
        <v>327</v>
      </c>
      <c r="C84" t="s">
        <v>328</v>
      </c>
      <c r="D84" s="63">
        <v>4.5</v>
      </c>
      <c r="E84" s="82">
        <v>0</v>
      </c>
      <c r="F84">
        <v>0</v>
      </c>
      <c r="G84" s="63">
        <v>10</v>
      </c>
    </row>
    <row r="85" spans="1:7" ht="14.4" customHeight="1" x14ac:dyDescent="0.25">
      <c r="A85" t="s">
        <v>329</v>
      </c>
      <c r="B85" t="s">
        <v>330</v>
      </c>
      <c r="C85" t="s">
        <v>331</v>
      </c>
      <c r="D85" s="63">
        <v>4.3499999999999996</v>
      </c>
      <c r="E85" s="82">
        <v>0</v>
      </c>
      <c r="F85">
        <v>0</v>
      </c>
      <c r="G85" s="63">
        <v>10</v>
      </c>
    </row>
    <row r="86" spans="1:7" ht="14.4" customHeight="1" x14ac:dyDescent="0.25">
      <c r="A86" t="s">
        <v>332</v>
      </c>
      <c r="B86" t="s">
        <v>333</v>
      </c>
      <c r="C86" t="s">
        <v>334</v>
      </c>
      <c r="D86" s="63">
        <v>3.28</v>
      </c>
      <c r="E86" s="82">
        <v>0</v>
      </c>
      <c r="F86">
        <v>0</v>
      </c>
      <c r="G86" s="63">
        <v>4</v>
      </c>
    </row>
    <row r="87" spans="1:7" ht="14.4" customHeight="1" x14ac:dyDescent="0.25">
      <c r="A87" t="s">
        <v>335</v>
      </c>
      <c r="B87" t="s">
        <v>336</v>
      </c>
      <c r="C87" t="s">
        <v>337</v>
      </c>
      <c r="D87" s="63">
        <v>3.7</v>
      </c>
      <c r="E87" s="82">
        <v>0.58356164383561648</v>
      </c>
      <c r="F87">
        <v>0</v>
      </c>
      <c r="G87" s="63">
        <v>5</v>
      </c>
    </row>
    <row r="88" spans="1:7" ht="14.4" customHeight="1" x14ac:dyDescent="0.25">
      <c r="A88" t="s">
        <v>338</v>
      </c>
      <c r="B88" t="s">
        <v>339</v>
      </c>
      <c r="C88" t="s">
        <v>340</v>
      </c>
      <c r="D88" s="63">
        <v>3.22</v>
      </c>
      <c r="E88" s="82">
        <v>0</v>
      </c>
      <c r="F88">
        <v>0</v>
      </c>
      <c r="G88" s="63">
        <v>6</v>
      </c>
    </row>
    <row r="89" spans="1:7" ht="14.4" customHeight="1" x14ac:dyDescent="0.25">
      <c r="A89" t="s">
        <v>341</v>
      </c>
      <c r="B89" t="s">
        <v>342</v>
      </c>
      <c r="C89" t="s">
        <v>343</v>
      </c>
      <c r="D89" s="63">
        <v>3.19</v>
      </c>
      <c r="E89" s="82">
        <v>2.5095890410958903</v>
      </c>
      <c r="F89" t="s">
        <v>25</v>
      </c>
      <c r="G89" s="63">
        <v>5</v>
      </c>
    </row>
    <row r="90" spans="1:7" ht="14.4" customHeight="1" x14ac:dyDescent="0.25">
      <c r="A90" t="s">
        <v>344</v>
      </c>
      <c r="B90" t="s">
        <v>345</v>
      </c>
      <c r="C90" t="s">
        <v>346</v>
      </c>
      <c r="D90" s="63">
        <v>2.95</v>
      </c>
      <c r="E90" s="82">
        <v>0</v>
      </c>
      <c r="F90" t="s">
        <v>503</v>
      </c>
      <c r="G90" s="63">
        <v>6</v>
      </c>
    </row>
    <row r="91" spans="1:7" ht="14.4" customHeight="1" x14ac:dyDescent="0.25">
      <c r="A91" t="s">
        <v>347</v>
      </c>
      <c r="B91" t="s">
        <v>348</v>
      </c>
      <c r="C91" t="s">
        <v>349</v>
      </c>
      <c r="D91" s="63">
        <v>3.64</v>
      </c>
      <c r="E91" s="82">
        <v>0.35616438356164382</v>
      </c>
      <c r="F91">
        <v>0</v>
      </c>
      <c r="G91" s="63">
        <v>5</v>
      </c>
    </row>
    <row r="92" spans="1:7" ht="14.4" customHeight="1" x14ac:dyDescent="0.25">
      <c r="A92" t="s">
        <v>350</v>
      </c>
      <c r="B92" t="s">
        <v>351</v>
      </c>
      <c r="C92" t="s">
        <v>352</v>
      </c>
      <c r="D92" s="63">
        <v>2.92</v>
      </c>
      <c r="E92" s="82">
        <v>0</v>
      </c>
      <c r="F92" t="s">
        <v>503</v>
      </c>
      <c r="G92" s="63">
        <v>6</v>
      </c>
    </row>
    <row r="93" spans="1:7" ht="14.4" customHeight="1" x14ac:dyDescent="0.25">
      <c r="A93" t="s">
        <v>353</v>
      </c>
      <c r="B93" t="s">
        <v>354</v>
      </c>
      <c r="C93" t="s">
        <v>355</v>
      </c>
      <c r="D93" s="63">
        <v>2.8</v>
      </c>
      <c r="E93" s="82">
        <v>0</v>
      </c>
      <c r="F93">
        <v>0</v>
      </c>
      <c r="G93" s="63">
        <v>5</v>
      </c>
    </row>
    <row r="94" spans="1:7" ht="14.4" customHeight="1" x14ac:dyDescent="0.25">
      <c r="A94" t="s">
        <v>356</v>
      </c>
      <c r="B94" t="s">
        <v>357</v>
      </c>
      <c r="C94" t="s">
        <v>358</v>
      </c>
      <c r="D94" s="63">
        <v>2.92</v>
      </c>
      <c r="E94" s="82">
        <v>0</v>
      </c>
      <c r="F94">
        <v>0</v>
      </c>
      <c r="G94" s="63">
        <v>5</v>
      </c>
    </row>
    <row r="95" spans="1:7" ht="14.4" customHeight="1" x14ac:dyDescent="0.25">
      <c r="A95" t="s">
        <v>359</v>
      </c>
      <c r="B95" t="s">
        <v>360</v>
      </c>
      <c r="C95" t="s">
        <v>361</v>
      </c>
      <c r="D95" s="63">
        <v>3.29</v>
      </c>
      <c r="E95" s="82">
        <v>0</v>
      </c>
      <c r="F95">
        <v>0</v>
      </c>
      <c r="G95" s="63">
        <v>5</v>
      </c>
    </row>
    <row r="96" spans="1:7" ht="14.4" customHeight="1" x14ac:dyDescent="0.25">
      <c r="A96" t="s">
        <v>362</v>
      </c>
      <c r="B96" t="s">
        <v>363</v>
      </c>
      <c r="C96" t="s">
        <v>364</v>
      </c>
      <c r="D96" s="63">
        <v>3.3</v>
      </c>
      <c r="E96" s="82">
        <v>0</v>
      </c>
      <c r="F96">
        <v>0</v>
      </c>
      <c r="G96" s="63">
        <v>5</v>
      </c>
    </row>
    <row r="97" spans="1:7" ht="14.4" customHeight="1" x14ac:dyDescent="0.25">
      <c r="A97" t="s">
        <v>365</v>
      </c>
      <c r="B97" t="s">
        <v>366</v>
      </c>
      <c r="C97" t="s">
        <v>367</v>
      </c>
      <c r="D97" s="63">
        <v>4.0999999999999996</v>
      </c>
      <c r="E97" s="82">
        <v>0.11780821917808219</v>
      </c>
      <c r="F97">
        <v>0</v>
      </c>
      <c r="G97" s="63">
        <v>7</v>
      </c>
    </row>
    <row r="98" spans="1:7" ht="14.4" customHeight="1" x14ac:dyDescent="0.25">
      <c r="A98" t="s">
        <v>368</v>
      </c>
      <c r="B98" t="s">
        <v>369</v>
      </c>
      <c r="C98" t="s">
        <v>370</v>
      </c>
      <c r="D98" s="63">
        <v>3.68</v>
      </c>
      <c r="E98" s="82">
        <v>0</v>
      </c>
      <c r="F98">
        <v>0</v>
      </c>
      <c r="G98" s="63">
        <v>5</v>
      </c>
    </row>
    <row r="99" spans="1:7" ht="14.4" customHeight="1" x14ac:dyDescent="0.25">
      <c r="A99" t="s">
        <v>371</v>
      </c>
      <c r="B99" t="s">
        <v>372</v>
      </c>
      <c r="C99" t="s">
        <v>373</v>
      </c>
      <c r="D99" s="63">
        <v>3.3</v>
      </c>
      <c r="E99" s="82">
        <v>0</v>
      </c>
      <c r="F99">
        <v>0</v>
      </c>
      <c r="G99" s="63">
        <v>5</v>
      </c>
    </row>
    <row r="100" spans="1:7" ht="14.4" customHeight="1" x14ac:dyDescent="0.25">
      <c r="A100" t="s">
        <v>374</v>
      </c>
      <c r="B100" t="s">
        <v>375</v>
      </c>
      <c r="C100" t="s">
        <v>376</v>
      </c>
      <c r="D100" s="63">
        <v>4.3</v>
      </c>
      <c r="E100" s="82">
        <v>1.9234972677595628</v>
      </c>
      <c r="F100">
        <v>0</v>
      </c>
      <c r="G100" s="63">
        <v>7</v>
      </c>
    </row>
    <row r="101" spans="1:7" ht="14.4" customHeight="1" x14ac:dyDescent="0.25">
      <c r="A101" t="s">
        <v>377</v>
      </c>
      <c r="B101" t="s">
        <v>378</v>
      </c>
      <c r="C101" t="s">
        <v>379</v>
      </c>
      <c r="D101" s="63">
        <v>4.08</v>
      </c>
      <c r="E101" s="82">
        <v>0</v>
      </c>
      <c r="F101">
        <v>0</v>
      </c>
      <c r="G101" s="63">
        <v>6</v>
      </c>
    </row>
    <row r="102" spans="1:7" ht="14.4" customHeight="1" x14ac:dyDescent="0.25">
      <c r="A102" t="s">
        <v>380</v>
      </c>
      <c r="B102" t="s">
        <v>381</v>
      </c>
      <c r="C102" t="s">
        <v>382</v>
      </c>
      <c r="D102" s="63">
        <v>4</v>
      </c>
      <c r="E102" s="82">
        <v>0</v>
      </c>
      <c r="F102">
        <v>0</v>
      </c>
      <c r="G102" s="63">
        <v>6</v>
      </c>
    </row>
    <row r="103" spans="1:7" ht="14.4" customHeight="1" x14ac:dyDescent="0.25">
      <c r="A103" t="s">
        <v>383</v>
      </c>
      <c r="B103" t="s">
        <v>384</v>
      </c>
      <c r="C103" t="s">
        <v>385</v>
      </c>
      <c r="D103" s="63">
        <v>3.79</v>
      </c>
      <c r="E103" s="82">
        <v>0</v>
      </c>
      <c r="F103">
        <v>0</v>
      </c>
      <c r="G103" s="63">
        <v>7</v>
      </c>
    </row>
    <row r="104" spans="1:7" ht="14.4" customHeight="1" x14ac:dyDescent="0.25">
      <c r="A104" t="s">
        <v>386</v>
      </c>
      <c r="B104" t="s">
        <v>387</v>
      </c>
      <c r="C104" t="s">
        <v>388</v>
      </c>
      <c r="D104" s="63">
        <v>4.3</v>
      </c>
      <c r="E104" s="82">
        <v>0</v>
      </c>
      <c r="F104">
        <v>0</v>
      </c>
      <c r="G104" s="63">
        <v>7</v>
      </c>
    </row>
    <row r="105" spans="1:7" ht="14.4" customHeight="1" x14ac:dyDescent="0.25">
      <c r="A105" t="s">
        <v>389</v>
      </c>
      <c r="B105" t="s">
        <v>390</v>
      </c>
      <c r="C105" t="s">
        <v>391</v>
      </c>
      <c r="D105" s="63">
        <v>3.5</v>
      </c>
      <c r="E105" s="82">
        <v>0</v>
      </c>
      <c r="F105" t="s">
        <v>503</v>
      </c>
      <c r="G105" s="63">
        <v>6</v>
      </c>
    </row>
    <row r="106" spans="1:7" ht="14.4" customHeight="1" x14ac:dyDescent="0.25">
      <c r="A106" t="s">
        <v>392</v>
      </c>
      <c r="B106" t="s">
        <v>393</v>
      </c>
      <c r="C106" t="s">
        <v>394</v>
      </c>
      <c r="D106" s="63">
        <v>4.4000000000000004</v>
      </c>
      <c r="E106" s="82">
        <v>0</v>
      </c>
      <c r="F106">
        <v>0</v>
      </c>
      <c r="G106" s="63">
        <v>5</v>
      </c>
    </row>
    <row r="107" spans="1:7" ht="14.4" customHeight="1" x14ac:dyDescent="0.25">
      <c r="A107" t="s">
        <v>395</v>
      </c>
      <c r="B107" t="s">
        <v>396</v>
      </c>
      <c r="C107" t="s">
        <v>397</v>
      </c>
      <c r="D107" s="63">
        <v>4.9800000000000004</v>
      </c>
      <c r="E107" s="82">
        <v>0</v>
      </c>
      <c r="F107">
        <v>0</v>
      </c>
      <c r="G107" s="63">
        <v>5</v>
      </c>
    </row>
    <row r="108" spans="1:7" ht="14.4" customHeight="1" x14ac:dyDescent="0.25">
      <c r="A108" t="s">
        <v>398</v>
      </c>
      <c r="B108" t="s">
        <v>399</v>
      </c>
      <c r="C108" t="s">
        <v>400</v>
      </c>
      <c r="D108" s="63">
        <v>4.7</v>
      </c>
      <c r="E108" s="82">
        <v>0</v>
      </c>
      <c r="F108">
        <v>0</v>
      </c>
      <c r="G108" s="63">
        <v>5</v>
      </c>
    </row>
    <row r="109" spans="1:7" ht="14.4" customHeight="1" x14ac:dyDescent="0.25">
      <c r="A109" t="s">
        <v>401</v>
      </c>
      <c r="B109" t="s">
        <v>402</v>
      </c>
      <c r="C109" t="s">
        <v>403</v>
      </c>
      <c r="D109" s="63">
        <v>5.05</v>
      </c>
      <c r="E109" s="82">
        <v>0</v>
      </c>
      <c r="F109">
        <v>0</v>
      </c>
      <c r="G109" s="63">
        <v>10</v>
      </c>
    </row>
    <row r="110" spans="1:7" ht="14.4" customHeight="1" x14ac:dyDescent="0.25">
      <c r="A110" t="s">
        <v>404</v>
      </c>
      <c r="B110" t="s">
        <v>405</v>
      </c>
      <c r="C110" t="s">
        <v>406</v>
      </c>
      <c r="D110" s="63">
        <v>5.0999999999999996</v>
      </c>
      <c r="E110" s="82">
        <v>0</v>
      </c>
      <c r="F110">
        <v>0</v>
      </c>
      <c r="G110" s="63">
        <v>5</v>
      </c>
    </row>
    <row r="111" spans="1:7" ht="14.4" customHeight="1" x14ac:dyDescent="0.25">
      <c r="A111" t="s">
        <v>407</v>
      </c>
      <c r="B111" t="s">
        <v>408</v>
      </c>
      <c r="C111" t="s">
        <v>409</v>
      </c>
      <c r="D111" s="63">
        <v>5.3</v>
      </c>
      <c r="E111" s="82">
        <v>0</v>
      </c>
      <c r="F111">
        <v>0</v>
      </c>
      <c r="G111" s="63">
        <v>5</v>
      </c>
    </row>
    <row r="112" spans="1:7" ht="14.4" customHeight="1" x14ac:dyDescent="0.25">
      <c r="A112" t="s">
        <v>410</v>
      </c>
      <c r="B112" t="s">
        <v>411</v>
      </c>
      <c r="C112" t="s">
        <v>412</v>
      </c>
      <c r="D112" s="63">
        <v>4.79</v>
      </c>
      <c r="E112" s="82">
        <v>0</v>
      </c>
      <c r="F112" t="s">
        <v>25</v>
      </c>
      <c r="G112" s="63">
        <v>8</v>
      </c>
    </row>
    <row r="113" spans="1:7" ht="14.4" customHeight="1" x14ac:dyDescent="0.25">
      <c r="A113" t="s">
        <v>413</v>
      </c>
      <c r="B113" t="s">
        <v>414</v>
      </c>
      <c r="C113" t="s">
        <v>415</v>
      </c>
      <c r="D113" s="63">
        <v>4.2</v>
      </c>
      <c r="E113" s="82">
        <v>0</v>
      </c>
      <c r="F113" t="s">
        <v>503</v>
      </c>
      <c r="G113" s="63">
        <v>12</v>
      </c>
    </row>
    <row r="114" spans="1:7" ht="14.4" customHeight="1" x14ac:dyDescent="0.25">
      <c r="A114" t="s">
        <v>416</v>
      </c>
      <c r="B114" t="s">
        <v>417</v>
      </c>
      <c r="C114" t="s">
        <v>418</v>
      </c>
      <c r="D114" s="63">
        <v>7</v>
      </c>
      <c r="E114" s="82">
        <v>0</v>
      </c>
      <c r="F114" t="s">
        <v>25</v>
      </c>
      <c r="G114" s="63">
        <v>4</v>
      </c>
    </row>
    <row r="115" spans="1:7" ht="14.4" customHeight="1" x14ac:dyDescent="0.25">
      <c r="A115" t="s">
        <v>419</v>
      </c>
      <c r="B115" t="s">
        <v>417</v>
      </c>
      <c r="C115" t="s">
        <v>420</v>
      </c>
      <c r="D115" s="63"/>
      <c r="E115" s="82">
        <v>0.28493150684931506</v>
      </c>
      <c r="F115">
        <v>0</v>
      </c>
      <c r="G115" s="63">
        <v>0.55000000000000004</v>
      </c>
    </row>
    <row r="116" spans="1:7" ht="14.4" customHeight="1" x14ac:dyDescent="0.25">
      <c r="A116" t="s">
        <v>421</v>
      </c>
      <c r="C116" t="s">
        <v>422</v>
      </c>
      <c r="D116" s="63"/>
      <c r="E116" s="82">
        <v>0</v>
      </c>
      <c r="F116" t="s">
        <v>25</v>
      </c>
      <c r="G116" s="63">
        <v>0</v>
      </c>
    </row>
    <row r="117" spans="1:7" ht="14.4" customHeight="1" x14ac:dyDescent="0.25">
      <c r="D117" s="63"/>
      <c r="E117" s="82"/>
      <c r="G117" s="63"/>
    </row>
    <row r="118" spans="1:7" ht="14.4" customHeight="1" x14ac:dyDescent="0.25">
      <c r="D118" s="63"/>
      <c r="E118" s="82"/>
      <c r="G118" s="63"/>
    </row>
    <row r="119" spans="1:7" ht="14.4" customHeight="1" x14ac:dyDescent="0.25">
      <c r="D119" s="63"/>
      <c r="E119" s="82"/>
      <c r="G119" s="63"/>
    </row>
    <row r="120" spans="1:7" ht="14.4" customHeight="1" x14ac:dyDescent="0.25">
      <c r="D120" s="63"/>
      <c r="E120" s="82"/>
      <c r="G120" s="63"/>
    </row>
    <row r="121" spans="1:7" ht="14.4" customHeight="1" x14ac:dyDescent="0.25">
      <c r="D121" s="63"/>
      <c r="E121" s="82"/>
      <c r="G121" s="63"/>
    </row>
    <row r="122" spans="1:7" ht="14.4" customHeight="1" x14ac:dyDescent="0.25">
      <c r="A122" s="138" t="s">
        <v>423</v>
      </c>
      <c r="B122" s="138"/>
      <c r="C122" s="138"/>
      <c r="D122" s="138"/>
      <c r="E122" s="82"/>
      <c r="G122" s="63"/>
    </row>
    <row r="123" spans="1:7" ht="14.4" customHeight="1" x14ac:dyDescent="0.25">
      <c r="A123" s="83" t="s">
        <v>424</v>
      </c>
      <c r="B123" s="83" t="s">
        <v>425</v>
      </c>
      <c r="C123" s="83" t="s">
        <v>426</v>
      </c>
      <c r="D123" s="84" t="s">
        <v>427</v>
      </c>
      <c r="E123" s="82"/>
      <c r="G123" s="63"/>
    </row>
    <row r="124" spans="1:7" ht="14.4" customHeight="1" x14ac:dyDescent="0.25">
      <c r="A124" t="s">
        <v>428</v>
      </c>
      <c r="B124" t="s">
        <v>25</v>
      </c>
      <c r="C124" t="s">
        <v>429</v>
      </c>
      <c r="D124" s="63" t="s">
        <v>430</v>
      </c>
      <c r="E124" s="82"/>
      <c r="G124" s="63"/>
    </row>
    <row r="125" spans="1:7" ht="14.4" customHeight="1" x14ac:dyDescent="0.25">
      <c r="A125" t="s">
        <v>431</v>
      </c>
      <c r="B125" t="s">
        <v>25</v>
      </c>
      <c r="C125" t="s">
        <v>429</v>
      </c>
      <c r="D125" s="63" t="s">
        <v>430</v>
      </c>
      <c r="E125" s="82"/>
      <c r="G125" s="63"/>
    </row>
    <row r="126" spans="1:7" ht="14.4" customHeight="1" x14ac:dyDescent="0.25">
      <c r="A126" t="s">
        <v>432</v>
      </c>
      <c r="B126" t="s">
        <v>25</v>
      </c>
      <c r="C126" t="s">
        <v>429</v>
      </c>
      <c r="D126" s="63" t="s">
        <v>430</v>
      </c>
      <c r="E126" s="82"/>
      <c r="G126" s="63"/>
    </row>
    <row r="127" spans="1:7" ht="14.4" customHeight="1" x14ac:dyDescent="0.25">
      <c r="A127" t="s">
        <v>433</v>
      </c>
      <c r="B127" t="s">
        <v>25</v>
      </c>
      <c r="C127" t="s">
        <v>429</v>
      </c>
      <c r="D127" s="63" t="s">
        <v>434</v>
      </c>
      <c r="E127" s="82"/>
      <c r="G127" s="63"/>
    </row>
    <row r="128" spans="1:7" ht="14.4" customHeight="1" x14ac:dyDescent="0.25">
      <c r="A128" t="s">
        <v>435</v>
      </c>
      <c r="B128" t="s">
        <v>25</v>
      </c>
      <c r="C128" t="s">
        <v>429</v>
      </c>
      <c r="D128" s="63" t="s">
        <v>434</v>
      </c>
      <c r="E128" s="82"/>
      <c r="G128" s="63"/>
    </row>
    <row r="129" spans="1:7" ht="14.4" customHeight="1" x14ac:dyDescent="0.25">
      <c r="A129" t="s">
        <v>174</v>
      </c>
      <c r="B129" t="s">
        <v>25</v>
      </c>
      <c r="C129" t="s">
        <v>429</v>
      </c>
      <c r="D129" s="63" t="s">
        <v>434</v>
      </c>
      <c r="E129" s="82"/>
      <c r="G129" s="63"/>
    </row>
    <row r="130" spans="1:7" ht="14.4" customHeight="1" x14ac:dyDescent="0.25">
      <c r="A130" t="s">
        <v>436</v>
      </c>
      <c r="B130" t="s">
        <v>25</v>
      </c>
      <c r="C130" t="s">
        <v>429</v>
      </c>
      <c r="D130" s="63" t="s">
        <v>434</v>
      </c>
      <c r="E130" s="82"/>
      <c r="G130" s="63"/>
    </row>
    <row r="131" spans="1:7" ht="14.4" customHeight="1" x14ac:dyDescent="0.25">
      <c r="A131" t="s">
        <v>437</v>
      </c>
      <c r="B131" t="s">
        <v>25</v>
      </c>
      <c r="C131" t="s">
        <v>429</v>
      </c>
      <c r="D131" s="63" t="s">
        <v>430</v>
      </c>
      <c r="E131" s="82"/>
      <c r="G131" s="63"/>
    </row>
    <row r="132" spans="1:7" ht="14.4" customHeight="1" x14ac:dyDescent="0.25">
      <c r="A132" t="s">
        <v>438</v>
      </c>
      <c r="B132" t="s">
        <v>25</v>
      </c>
      <c r="C132" t="s">
        <v>429</v>
      </c>
      <c r="D132" s="63" t="s">
        <v>434</v>
      </c>
      <c r="E132" s="82"/>
      <c r="G132" s="63"/>
    </row>
    <row r="133" spans="1:7" ht="14.4" customHeight="1" x14ac:dyDescent="0.25">
      <c r="A133" t="s">
        <v>439</v>
      </c>
      <c r="B133" t="s">
        <v>25</v>
      </c>
      <c r="C133" t="s">
        <v>429</v>
      </c>
      <c r="D133" s="63" t="s">
        <v>430</v>
      </c>
      <c r="E133" s="82"/>
      <c r="G133" s="63"/>
    </row>
    <row r="134" spans="1:7" ht="14.4" customHeight="1" x14ac:dyDescent="0.25">
      <c r="A134" t="s">
        <v>205</v>
      </c>
      <c r="B134" t="s">
        <v>25</v>
      </c>
      <c r="C134" t="s">
        <v>429</v>
      </c>
      <c r="D134" s="63" t="s">
        <v>434</v>
      </c>
      <c r="E134" s="82"/>
      <c r="G134" s="63"/>
    </row>
    <row r="135" spans="1:7" ht="14.4" customHeight="1" x14ac:dyDescent="0.25">
      <c r="A135" t="s">
        <v>216</v>
      </c>
      <c r="B135" t="s">
        <v>25</v>
      </c>
      <c r="C135" t="s">
        <v>429</v>
      </c>
      <c r="D135" s="63" t="s">
        <v>434</v>
      </c>
      <c r="E135" s="82"/>
      <c r="G135" s="63"/>
    </row>
    <row r="136" spans="1:7" ht="14.4" customHeight="1" x14ac:dyDescent="0.25">
      <c r="A136" t="s">
        <v>225</v>
      </c>
      <c r="B136" t="s">
        <v>25</v>
      </c>
      <c r="C136" t="s">
        <v>429</v>
      </c>
      <c r="D136" s="63" t="s">
        <v>434</v>
      </c>
      <c r="E136" s="82"/>
      <c r="G136" s="63"/>
    </row>
    <row r="137" spans="1:7" ht="14.4" customHeight="1" x14ac:dyDescent="0.25">
      <c r="A137" t="s">
        <v>440</v>
      </c>
      <c r="B137" t="s">
        <v>25</v>
      </c>
      <c r="C137" t="s">
        <v>429</v>
      </c>
      <c r="D137" s="63" t="s">
        <v>430</v>
      </c>
      <c r="E137" s="82"/>
      <c r="G137" s="63"/>
    </row>
    <row r="138" spans="1:7" ht="14.4" customHeight="1" x14ac:dyDescent="0.25">
      <c r="A138" t="s">
        <v>441</v>
      </c>
      <c r="B138" t="s">
        <v>25</v>
      </c>
      <c r="C138" t="s">
        <v>429</v>
      </c>
      <c r="D138" s="63" t="s">
        <v>430</v>
      </c>
      <c r="E138" s="82"/>
      <c r="G138" s="63"/>
    </row>
    <row r="139" spans="1:7" ht="14.4" customHeight="1" x14ac:dyDescent="0.25">
      <c r="A139" t="s">
        <v>442</v>
      </c>
      <c r="B139" t="s">
        <v>25</v>
      </c>
      <c r="C139" t="s">
        <v>429</v>
      </c>
      <c r="D139" s="63" t="s">
        <v>430</v>
      </c>
      <c r="E139" s="82"/>
      <c r="G139" s="63"/>
    </row>
    <row r="140" spans="1:7" ht="14.4" customHeight="1" x14ac:dyDescent="0.25">
      <c r="A140" t="s">
        <v>443</v>
      </c>
      <c r="B140" t="s">
        <v>25</v>
      </c>
      <c r="C140" t="s">
        <v>429</v>
      </c>
      <c r="D140" s="63" t="s">
        <v>434</v>
      </c>
      <c r="E140" s="82"/>
      <c r="G140" s="63"/>
    </row>
    <row r="141" spans="1:7" ht="14.4" customHeight="1" x14ac:dyDescent="0.25">
      <c r="A141" t="s">
        <v>444</v>
      </c>
      <c r="B141" t="s">
        <v>25</v>
      </c>
      <c r="C141" t="s">
        <v>429</v>
      </c>
      <c r="D141" s="63" t="s">
        <v>430</v>
      </c>
      <c r="E141" s="82"/>
      <c r="G141" s="63"/>
    </row>
    <row r="142" spans="1:7" ht="14.4" customHeight="1" x14ac:dyDescent="0.25">
      <c r="A142" t="s">
        <v>445</v>
      </c>
      <c r="B142" t="s">
        <v>25</v>
      </c>
      <c r="C142" t="s">
        <v>429</v>
      </c>
      <c r="D142" s="63" t="s">
        <v>434</v>
      </c>
      <c r="E142" s="82"/>
      <c r="G142" s="63"/>
    </row>
    <row r="143" spans="1:7" ht="14.4" customHeight="1" x14ac:dyDescent="0.25">
      <c r="A143" t="s">
        <v>291</v>
      </c>
      <c r="B143" t="s">
        <v>25</v>
      </c>
      <c r="C143" t="s">
        <v>429</v>
      </c>
      <c r="D143" s="63" t="s">
        <v>430</v>
      </c>
      <c r="E143" s="82"/>
      <c r="G143" s="63"/>
    </row>
    <row r="144" spans="1:7" ht="14.4" customHeight="1" x14ac:dyDescent="0.25">
      <c r="A144" t="s">
        <v>446</v>
      </c>
      <c r="B144" t="s">
        <v>25</v>
      </c>
      <c r="C144" t="s">
        <v>429</v>
      </c>
      <c r="D144" s="63" t="s">
        <v>430</v>
      </c>
      <c r="E144" s="82"/>
      <c r="G144" s="63"/>
    </row>
    <row r="145" spans="1:7" ht="14.4" customHeight="1" x14ac:dyDescent="0.25">
      <c r="A145" t="s">
        <v>447</v>
      </c>
      <c r="B145" t="s">
        <v>25</v>
      </c>
      <c r="C145" t="s">
        <v>429</v>
      </c>
      <c r="D145" s="63" t="s">
        <v>430</v>
      </c>
      <c r="E145" s="82"/>
      <c r="G145" s="63"/>
    </row>
    <row r="146" spans="1:7" ht="14.4" customHeight="1" x14ac:dyDescent="0.25">
      <c r="A146" t="s">
        <v>448</v>
      </c>
      <c r="B146" t="s">
        <v>25</v>
      </c>
      <c r="C146" t="s">
        <v>429</v>
      </c>
      <c r="D146" s="63" t="s">
        <v>430</v>
      </c>
      <c r="E146" s="82"/>
      <c r="G146" s="63"/>
    </row>
    <row r="147" spans="1:7" ht="14.4" customHeight="1" x14ac:dyDescent="0.25">
      <c r="A147" t="s">
        <v>449</v>
      </c>
      <c r="B147" t="s">
        <v>25</v>
      </c>
      <c r="C147" t="s">
        <v>429</v>
      </c>
      <c r="D147" s="63" t="s">
        <v>430</v>
      </c>
      <c r="E147" s="82"/>
      <c r="G147" s="63"/>
    </row>
    <row r="148" spans="1:7" ht="14.4" customHeight="1" x14ac:dyDescent="0.25">
      <c r="A148" t="s">
        <v>450</v>
      </c>
      <c r="B148" t="s">
        <v>25</v>
      </c>
      <c r="C148" t="s">
        <v>429</v>
      </c>
      <c r="D148" s="63" t="s">
        <v>430</v>
      </c>
      <c r="E148" s="82"/>
      <c r="G148" s="63"/>
    </row>
    <row r="149" spans="1:7" ht="14.4" customHeight="1" x14ac:dyDescent="0.25">
      <c r="A149" t="s">
        <v>369</v>
      </c>
      <c r="B149" t="s">
        <v>25</v>
      </c>
      <c r="C149" t="s">
        <v>429</v>
      </c>
      <c r="D149" s="63" t="s">
        <v>430</v>
      </c>
      <c r="E149" s="82"/>
      <c r="G149" s="63"/>
    </row>
    <row r="150" spans="1:7" ht="14.4" customHeight="1" x14ac:dyDescent="0.25">
      <c r="A150" t="s">
        <v>451</v>
      </c>
      <c r="B150" t="s">
        <v>452</v>
      </c>
      <c r="C150" t="s">
        <v>429</v>
      </c>
      <c r="D150" s="63" t="s">
        <v>430</v>
      </c>
      <c r="E150" s="82"/>
      <c r="G150" s="63"/>
    </row>
    <row r="151" spans="1:7" ht="14.4" customHeight="1" x14ac:dyDescent="0.25">
      <c r="A151" t="s">
        <v>453</v>
      </c>
      <c r="B151" t="s">
        <v>452</v>
      </c>
      <c r="C151" t="s">
        <v>429</v>
      </c>
      <c r="D151" s="63" t="s">
        <v>430</v>
      </c>
      <c r="E151" s="82"/>
      <c r="G151" s="63"/>
    </row>
    <row r="152" spans="1:7" ht="14.4" customHeight="1" x14ac:dyDescent="0.25">
      <c r="A152" t="s">
        <v>454</v>
      </c>
      <c r="B152" t="s">
        <v>452</v>
      </c>
      <c r="C152" t="s">
        <v>429</v>
      </c>
      <c r="D152" s="63" t="s">
        <v>430</v>
      </c>
      <c r="E152" s="82"/>
      <c r="G152" s="63"/>
    </row>
    <row r="153" spans="1:7" ht="14.4" customHeight="1" x14ac:dyDescent="0.25">
      <c r="D153" s="63"/>
      <c r="E153" s="82"/>
      <c r="G153" s="63"/>
    </row>
    <row r="154" spans="1:7" ht="14.4" customHeight="1" x14ac:dyDescent="0.25">
      <c r="D154" s="63"/>
      <c r="E154" s="82"/>
      <c r="G154" s="63"/>
    </row>
    <row r="155" spans="1:7" ht="14.4" customHeight="1" x14ac:dyDescent="0.25">
      <c r="D155" s="63"/>
      <c r="E155" s="82"/>
      <c r="G155" s="63"/>
    </row>
    <row r="156" spans="1:7" ht="14.4" customHeight="1" x14ac:dyDescent="0.25">
      <c r="D156" s="63"/>
      <c r="E156" s="82"/>
      <c r="G156" s="63"/>
    </row>
    <row r="157" spans="1:7" ht="14.4" customHeight="1" x14ac:dyDescent="0.25">
      <c r="D157" s="63"/>
      <c r="E157" s="82"/>
      <c r="G157" s="63"/>
    </row>
    <row r="158" spans="1:7" ht="14.4" customHeight="1" x14ac:dyDescent="0.25">
      <c r="D158" s="63"/>
      <c r="E158" s="82"/>
      <c r="G158" s="63"/>
    </row>
    <row r="159" spans="1:7" ht="14.4" customHeight="1" x14ac:dyDescent="0.25">
      <c r="D159" s="63"/>
      <c r="E159" s="82"/>
      <c r="G159" s="63"/>
    </row>
    <row r="160" spans="1: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122:D12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54</v>
      </c>
      <c r="B1" s="115"/>
      <c r="C1" s="115"/>
      <c r="D1" s="115"/>
      <c r="E1" s="115"/>
      <c r="F1" s="115"/>
      <c r="G1" s="115"/>
      <c r="H1" s="115"/>
      <c r="I1" s="115"/>
      <c r="J1" s="115"/>
    </row>
    <row r="2" spans="1:10" x14ac:dyDescent="0.25">
      <c r="A2" s="137" t="s">
        <v>55</v>
      </c>
      <c r="B2" s="115"/>
      <c r="C2" s="115"/>
      <c r="D2" s="115"/>
      <c r="E2" s="115"/>
      <c r="F2" s="115"/>
      <c r="G2" s="140">
        <v>2017</v>
      </c>
      <c r="H2" s="115"/>
      <c r="I2" s="115"/>
      <c r="J2" s="115"/>
    </row>
    <row r="3" spans="1:10" ht="12.75" customHeight="1" x14ac:dyDescent="0.25">
      <c r="A3" s="137" t="s">
        <v>56</v>
      </c>
      <c r="B3" s="115"/>
      <c r="C3" s="137" t="s">
        <v>57</v>
      </c>
      <c r="D3" s="115"/>
      <c r="E3" s="137" t="s">
        <v>58</v>
      </c>
      <c r="F3" s="115"/>
      <c r="G3" s="137" t="s">
        <v>59</v>
      </c>
      <c r="H3" s="115"/>
      <c r="I3" s="137" t="s">
        <v>60</v>
      </c>
      <c r="J3" s="115"/>
    </row>
    <row r="4" spans="1:10" ht="21.6" customHeight="1" x14ac:dyDescent="0.25">
      <c r="A4" s="57" t="s">
        <v>61</v>
      </c>
      <c r="B4" s="85">
        <v>0.88364199999999993</v>
      </c>
      <c r="C4" s="57" t="s">
        <v>36</v>
      </c>
      <c r="D4" s="86">
        <v>0.71360000000000001</v>
      </c>
      <c r="E4" s="57" t="s">
        <v>41</v>
      </c>
      <c r="F4" s="85">
        <v>4.8604000000000003</v>
      </c>
      <c r="G4" s="57" t="s">
        <v>42</v>
      </c>
      <c r="H4" s="85">
        <v>0.50889300000000004</v>
      </c>
      <c r="I4" s="57"/>
      <c r="J4" s="87"/>
    </row>
    <row r="5" spans="1:10" ht="15.75" customHeight="1" x14ac:dyDescent="0.25">
      <c r="A5" s="57" t="s">
        <v>62</v>
      </c>
      <c r="B5" s="85">
        <v>0.28197299999999997</v>
      </c>
      <c r="C5" s="57" t="s">
        <v>63</v>
      </c>
      <c r="D5" s="86">
        <v>0.71340000000000003</v>
      </c>
      <c r="E5" s="57" t="s">
        <v>64</v>
      </c>
      <c r="F5" s="86">
        <v>38.780299999999997</v>
      </c>
      <c r="G5" s="57" t="s">
        <v>65</v>
      </c>
      <c r="H5" s="85">
        <v>0.24530200000000002</v>
      </c>
      <c r="I5" s="57"/>
      <c r="J5" s="87"/>
    </row>
    <row r="6" spans="1:10" ht="15" customHeight="1" x14ac:dyDescent="0.25">
      <c r="A6" s="57" t="s">
        <v>66</v>
      </c>
      <c r="B6" s="85">
        <v>0.44718400000000003</v>
      </c>
      <c r="C6" s="57" t="s">
        <v>39</v>
      </c>
      <c r="D6" s="88">
        <v>2.64E-2</v>
      </c>
      <c r="E6" s="57" t="s">
        <v>67</v>
      </c>
      <c r="F6" s="86">
        <v>362.88690000000003</v>
      </c>
      <c r="G6" s="57" t="s">
        <v>45</v>
      </c>
      <c r="H6" s="85">
        <v>0.11074299999999999</v>
      </c>
      <c r="I6" s="57"/>
      <c r="J6" s="87"/>
    </row>
    <row r="7" spans="1:10" ht="14.25" customHeight="1" x14ac:dyDescent="0.25">
      <c r="A7" s="57" t="s">
        <v>38</v>
      </c>
      <c r="B7" s="88">
        <v>4.8382562885363543</v>
      </c>
      <c r="C7" s="57" t="s">
        <v>68</v>
      </c>
      <c r="D7" s="88">
        <v>0</v>
      </c>
      <c r="E7" s="57" t="s">
        <v>69</v>
      </c>
      <c r="F7" s="86">
        <v>0.25219999999999998</v>
      </c>
      <c r="G7" s="57" t="s">
        <v>70</v>
      </c>
      <c r="H7" s="85">
        <v>1.7073999999999999E-2</v>
      </c>
      <c r="I7" s="57"/>
      <c r="J7" s="87"/>
    </row>
    <row r="8" spans="1:10" x14ac:dyDescent="0.25">
      <c r="A8" s="57"/>
      <c r="B8" s="89"/>
      <c r="C8" s="57"/>
      <c r="D8" s="90"/>
      <c r="E8" s="57" t="s">
        <v>71</v>
      </c>
      <c r="F8" s="86">
        <v>7.0599999999999996E-2</v>
      </c>
      <c r="G8" s="57"/>
      <c r="H8" s="89"/>
      <c r="I8" s="57"/>
      <c r="J8" s="89"/>
    </row>
    <row r="9" spans="1:10" ht="13.5" customHeight="1" x14ac:dyDescent="0.25">
      <c r="A9" s="139" t="s">
        <v>72</v>
      </c>
      <c r="B9" s="115"/>
      <c r="C9" s="115"/>
      <c r="D9" s="115"/>
      <c r="E9" s="115"/>
      <c r="F9" s="115"/>
      <c r="G9" s="115"/>
      <c r="H9" s="115"/>
      <c r="I9" s="115"/>
      <c r="J9" s="115"/>
    </row>
    <row r="10" spans="1:10" ht="13.5" customHeight="1" x14ac:dyDescent="0.25">
      <c r="A10" s="137" t="s">
        <v>73</v>
      </c>
      <c r="B10" s="115"/>
      <c r="C10" s="115"/>
      <c r="D10" s="115"/>
      <c r="E10" s="115"/>
      <c r="F10" s="115"/>
      <c r="G10" s="141">
        <v>2017</v>
      </c>
      <c r="H10" s="115"/>
      <c r="I10" s="115"/>
      <c r="J10" s="115"/>
    </row>
    <row r="11" spans="1:10" x14ac:dyDescent="0.25">
      <c r="A11" s="137" t="s">
        <v>74</v>
      </c>
      <c r="B11" s="115"/>
      <c r="C11" s="137" t="s">
        <v>75</v>
      </c>
      <c r="D11" s="115"/>
      <c r="E11" s="137" t="s">
        <v>76</v>
      </c>
      <c r="F11" s="115"/>
      <c r="G11" s="115"/>
      <c r="H11" s="115"/>
      <c r="I11" s="115"/>
      <c r="J11" s="115"/>
    </row>
    <row r="12" spans="1:10" ht="14.25" customHeight="1" x14ac:dyDescent="0.25">
      <c r="A12" s="57" t="s">
        <v>77</v>
      </c>
      <c r="B12" s="91">
        <v>30.249540634099997</v>
      </c>
      <c r="C12" s="57" t="s">
        <v>78</v>
      </c>
      <c r="D12" s="88">
        <v>55.425571461300002</v>
      </c>
      <c r="E12" s="142" t="s">
        <v>79</v>
      </c>
      <c r="F12" s="115"/>
      <c r="G12" s="115"/>
      <c r="H12" s="143">
        <v>269.38888638139997</v>
      </c>
      <c r="I12" s="115"/>
      <c r="J12" s="115"/>
    </row>
    <row r="13" spans="1:10" ht="14.25" customHeight="1" x14ac:dyDescent="0.25">
      <c r="A13" s="57" t="s">
        <v>80</v>
      </c>
      <c r="B13" s="91">
        <v>1.4327088568000002</v>
      </c>
      <c r="C13" s="57" t="s">
        <v>81</v>
      </c>
      <c r="D13" s="88">
        <v>43.194315189899996</v>
      </c>
      <c r="E13" s="142" t="s">
        <v>82</v>
      </c>
      <c r="F13" s="115"/>
      <c r="G13" s="115"/>
      <c r="H13" s="143">
        <v>92.744772058199999</v>
      </c>
      <c r="I13" s="115"/>
      <c r="J13" s="115"/>
    </row>
    <row r="14" spans="1:10" ht="14.25" customHeight="1" x14ac:dyDescent="0.25">
      <c r="A14" s="57" t="s">
        <v>83</v>
      </c>
      <c r="B14" s="91">
        <v>0.21982360059999997</v>
      </c>
      <c r="C14" s="57" t="s">
        <v>84</v>
      </c>
      <c r="D14" s="88">
        <v>27.219894523099999</v>
      </c>
      <c r="E14" s="142" t="s">
        <v>85</v>
      </c>
      <c r="F14" s="115"/>
      <c r="G14" s="115"/>
      <c r="H14" s="143">
        <v>362.13365843959997</v>
      </c>
      <c r="I14" s="115"/>
      <c r="J14" s="115"/>
    </row>
    <row r="15" spans="1:10" ht="14.25" customHeight="1" x14ac:dyDescent="0.25">
      <c r="A15" s="57" t="s">
        <v>86</v>
      </c>
      <c r="B15" s="91">
        <v>58.317507606899994</v>
      </c>
      <c r="C15" s="57" t="s">
        <v>87</v>
      </c>
      <c r="D15" s="88">
        <v>0.40304743920000002</v>
      </c>
      <c r="E15" s="142" t="s">
        <v>88</v>
      </c>
      <c r="F15" s="115"/>
      <c r="G15" s="115"/>
      <c r="H15" s="143">
        <v>406.88375454650003</v>
      </c>
      <c r="I15" s="115"/>
      <c r="J15" s="115"/>
    </row>
    <row r="16" spans="1:10" ht="14.25" customHeight="1" x14ac:dyDescent="0.25">
      <c r="A16" s="57" t="s">
        <v>89</v>
      </c>
      <c r="B16" s="91">
        <v>10.761967851</v>
      </c>
      <c r="C16" s="57" t="s">
        <v>90</v>
      </c>
      <c r="D16" s="88">
        <v>9.1753388717999993</v>
      </c>
      <c r="E16" s="142" t="s">
        <v>91</v>
      </c>
      <c r="F16" s="115"/>
      <c r="G16" s="115"/>
      <c r="H16" s="143">
        <v>72.617856577799998</v>
      </c>
      <c r="I16" s="115"/>
      <c r="J16" s="115"/>
    </row>
    <row r="17" spans="1:10" ht="14.25" customHeight="1" x14ac:dyDescent="0.25">
      <c r="A17" s="57" t="s">
        <v>92</v>
      </c>
      <c r="B17" s="91">
        <v>8.3156610000000002E-3</v>
      </c>
      <c r="C17" s="57" t="s">
        <v>93</v>
      </c>
      <c r="D17" s="88">
        <v>-0.2526058236</v>
      </c>
      <c r="E17" s="142" t="s">
        <v>94</v>
      </c>
      <c r="F17" s="115"/>
      <c r="G17" s="115"/>
      <c r="H17" s="143">
        <v>485.54241268110002</v>
      </c>
      <c r="I17" s="115"/>
      <c r="J17" s="115"/>
    </row>
    <row r="18" spans="1:10" ht="14.25" customHeight="1" x14ac:dyDescent="0.25">
      <c r="A18" s="57" t="s">
        <v>95</v>
      </c>
      <c r="B18" s="91">
        <v>882.03758400829997</v>
      </c>
      <c r="C18" s="57" t="s">
        <v>96</v>
      </c>
      <c r="D18" s="88">
        <v>13.595980578299999</v>
      </c>
      <c r="E18" s="142" t="s">
        <v>97</v>
      </c>
      <c r="F18" s="115"/>
      <c r="G18" s="115"/>
      <c r="H18" s="143">
        <v>-123.40875424149999</v>
      </c>
      <c r="I18" s="115"/>
      <c r="J18" s="115"/>
    </row>
    <row r="19" spans="1:10" ht="14.25" customHeight="1" x14ac:dyDescent="0.25">
      <c r="A19" s="57" t="s">
        <v>98</v>
      </c>
      <c r="B19" s="91">
        <v>124.8607383467</v>
      </c>
      <c r="C19" s="57" t="s">
        <v>99</v>
      </c>
      <c r="D19" s="88">
        <v>13.618788897</v>
      </c>
      <c r="E19" s="142" t="s">
        <v>100</v>
      </c>
      <c r="F19" s="115"/>
      <c r="G19" s="115"/>
      <c r="H19" s="143">
        <v>-4.9176915408999999</v>
      </c>
      <c r="I19" s="115"/>
      <c r="J19" s="115"/>
    </row>
    <row r="20" spans="1:10" ht="27" customHeight="1" x14ac:dyDescent="0.25">
      <c r="A20" s="57" t="s">
        <v>101</v>
      </c>
      <c r="B20" s="91">
        <v>107.68285568719999</v>
      </c>
      <c r="C20" s="57" t="s">
        <v>43</v>
      </c>
      <c r="D20" s="88">
        <v>10.215646045</v>
      </c>
      <c r="E20" s="142" t="s">
        <v>102</v>
      </c>
      <c r="F20" s="115"/>
      <c r="G20" s="115"/>
      <c r="H20" s="143">
        <v>15.3022551918</v>
      </c>
      <c r="I20" s="115"/>
      <c r="J20" s="115"/>
    </row>
    <row r="21" spans="1:10" ht="16.5" customHeight="1" x14ac:dyDescent="0.25">
      <c r="A21" s="57" t="s">
        <v>103</v>
      </c>
      <c r="B21" s="91">
        <v>0</v>
      </c>
      <c r="C21" s="57"/>
      <c r="D21" s="92"/>
      <c r="E21" s="142" t="s">
        <v>104</v>
      </c>
      <c r="F21" s="115"/>
      <c r="G21" s="115"/>
      <c r="H21" s="143">
        <v>486.05001492940005</v>
      </c>
      <c r="I21" s="115"/>
      <c r="J21" s="115"/>
    </row>
    <row r="22" spans="1:10" ht="14.25" customHeight="1" x14ac:dyDescent="0.25">
      <c r="A22" s="57" t="s">
        <v>105</v>
      </c>
      <c r="B22" s="91">
        <v>232.89579793049998</v>
      </c>
      <c r="C22" s="57"/>
      <c r="D22" s="92"/>
      <c r="E22" s="142" t="s">
        <v>106</v>
      </c>
      <c r="F22" s="115"/>
      <c r="G22" s="115"/>
      <c r="H22" s="143">
        <v>24.803001800000001</v>
      </c>
      <c r="I22" s="115"/>
      <c r="J22" s="115"/>
    </row>
    <row r="23" spans="1:10" ht="14.25" customHeight="1" x14ac:dyDescent="0.25">
      <c r="A23" s="57" t="s">
        <v>107</v>
      </c>
      <c r="B23" s="91">
        <v>24.903747661100002</v>
      </c>
      <c r="C23" s="57"/>
      <c r="D23" s="92"/>
      <c r="E23" s="142" t="s">
        <v>108</v>
      </c>
      <c r="F23" s="115"/>
      <c r="G23" s="115"/>
      <c r="H23" s="143">
        <v>526.46780980050005</v>
      </c>
      <c r="I23" s="115"/>
      <c r="J23" s="115"/>
    </row>
    <row r="24" spans="1:10" ht="14.25" customHeight="1" x14ac:dyDescent="0.25">
      <c r="A24" s="57" t="s">
        <v>109</v>
      </c>
      <c r="B24" s="91">
        <v>779.4055030298</v>
      </c>
      <c r="C24" s="93"/>
      <c r="D24" s="90"/>
      <c r="E24" s="142" t="s">
        <v>110</v>
      </c>
      <c r="F24" s="115"/>
      <c r="G24" s="115"/>
      <c r="H24" s="143">
        <v>368.4012973033</v>
      </c>
      <c r="I24" s="115"/>
      <c r="J24" s="115"/>
    </row>
    <row r="25" spans="1:10" ht="14.25" customHeight="1" x14ac:dyDescent="0.25">
      <c r="A25" s="57" t="s">
        <v>111</v>
      </c>
      <c r="B25" s="91">
        <v>102.6320809785</v>
      </c>
      <c r="C25" s="93"/>
      <c r="D25" s="90"/>
      <c r="E25" s="142" t="s">
        <v>112</v>
      </c>
      <c r="F25" s="115"/>
      <c r="G25" s="115"/>
      <c r="H25" s="143">
        <v>397.35685555459997</v>
      </c>
      <c r="I25" s="115"/>
      <c r="J25" s="115"/>
    </row>
    <row r="26" spans="1:10" ht="14.25" customHeight="1" x14ac:dyDescent="0.25">
      <c r="A26" s="94" t="s">
        <v>113</v>
      </c>
      <c r="B26" s="91">
        <v>882.03758400829997</v>
      </c>
      <c r="C26" s="93"/>
      <c r="D26" s="90"/>
      <c r="E26" s="142" t="s">
        <v>114</v>
      </c>
      <c r="F26" s="115"/>
      <c r="G26" s="115"/>
      <c r="H26" s="143">
        <v>129.11095424589999</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455</v>
      </c>
      <c r="B1" s="119"/>
      <c r="C1" s="119"/>
      <c r="D1" s="119"/>
      <c r="E1" s="119"/>
      <c r="F1" s="119"/>
      <c r="G1" s="119"/>
      <c r="H1" s="119"/>
      <c r="I1" s="119"/>
    </row>
    <row r="2" spans="1:10" ht="46.5" customHeight="1" x14ac:dyDescent="0.25">
      <c r="A2" s="54" t="s">
        <v>22</v>
      </c>
      <c r="B2" s="43" t="s">
        <v>493</v>
      </c>
      <c r="C2" s="43" t="s">
        <v>456</v>
      </c>
      <c r="D2" s="43" t="s">
        <v>505</v>
      </c>
      <c r="E2" s="43" t="s">
        <v>506</v>
      </c>
      <c r="F2" s="43" t="s">
        <v>507</v>
      </c>
      <c r="G2" s="43" t="s">
        <v>508</v>
      </c>
      <c r="H2" s="43" t="s">
        <v>509</v>
      </c>
      <c r="I2" s="43" t="s">
        <v>510</v>
      </c>
      <c r="J2" s="43" t="s">
        <v>511</v>
      </c>
    </row>
    <row r="3" spans="1:10" x14ac:dyDescent="0.25">
      <c r="A3" s="54" t="s">
        <v>24</v>
      </c>
      <c r="B3" s="96" t="s">
        <v>25</v>
      </c>
      <c r="C3" s="97" t="s">
        <v>457</v>
      </c>
      <c r="D3" s="96" t="s">
        <v>25</v>
      </c>
      <c r="E3" s="96" t="s">
        <v>25</v>
      </c>
      <c r="F3" s="96" t="s">
        <v>25</v>
      </c>
      <c r="G3" s="96" t="s">
        <v>25</v>
      </c>
      <c r="H3" s="96" t="s">
        <v>25</v>
      </c>
      <c r="I3" s="96" t="s">
        <v>25</v>
      </c>
      <c r="J3" s="96" t="s">
        <v>25</v>
      </c>
    </row>
    <row r="4" spans="1:10" s="7" customFormat="1" ht="21.6" x14ac:dyDescent="0.25">
      <c r="A4" s="9" t="s">
        <v>3</v>
      </c>
      <c r="B4" s="98" t="s">
        <v>494</v>
      </c>
      <c r="C4" s="97" t="s">
        <v>457</v>
      </c>
      <c r="D4" s="98" t="s">
        <v>512</v>
      </c>
      <c r="E4" s="98" t="s">
        <v>513</v>
      </c>
      <c r="F4" s="98" t="s">
        <v>512</v>
      </c>
      <c r="G4" s="98" t="s">
        <v>494</v>
      </c>
      <c r="H4" s="98" t="s">
        <v>514</v>
      </c>
      <c r="I4" s="98" t="s">
        <v>515</v>
      </c>
      <c r="J4" s="98" t="s">
        <v>494</v>
      </c>
    </row>
    <row r="5" spans="1:10" s="7" customFormat="1" x14ac:dyDescent="0.25">
      <c r="A5" s="9" t="s">
        <v>29</v>
      </c>
      <c r="B5" s="99" t="s">
        <v>30</v>
      </c>
      <c r="C5" s="97" t="s">
        <v>457</v>
      </c>
      <c r="D5" s="99" t="s">
        <v>30</v>
      </c>
      <c r="E5" s="99" t="s">
        <v>30</v>
      </c>
      <c r="F5" s="99" t="s">
        <v>30</v>
      </c>
      <c r="G5" s="99" t="s">
        <v>30</v>
      </c>
      <c r="H5" s="99" t="s">
        <v>30</v>
      </c>
      <c r="I5" s="99" t="s">
        <v>30</v>
      </c>
      <c r="J5" s="99" t="s">
        <v>30</v>
      </c>
    </row>
    <row r="6" spans="1:10" x14ac:dyDescent="0.25">
      <c r="A6" s="54" t="s">
        <v>32</v>
      </c>
      <c r="B6" s="100">
        <v>882.03758400829997</v>
      </c>
      <c r="C6" s="97">
        <v>1532.5889965263286</v>
      </c>
      <c r="D6" s="100">
        <v>1771.1122861900001</v>
      </c>
      <c r="E6" s="100">
        <v>3003.9436300000002</v>
      </c>
      <c r="F6" s="100">
        <v>606.88801950970003</v>
      </c>
      <c r="G6" s="100">
        <v>1320.1483845404</v>
      </c>
      <c r="H6" s="100">
        <v>1064.4508927019001</v>
      </c>
      <c r="I6" s="100">
        <v>763.51934877740007</v>
      </c>
      <c r="J6" s="100">
        <v>2198.0604139648999</v>
      </c>
    </row>
    <row r="7" spans="1:10" x14ac:dyDescent="0.25">
      <c r="A7" s="54" t="s">
        <v>34</v>
      </c>
      <c r="B7" s="44">
        <v>0.88364199999999993</v>
      </c>
      <c r="C7" s="97">
        <v>0.86051100000000003</v>
      </c>
      <c r="D7" s="44">
        <v>0.87294099999999997</v>
      </c>
      <c r="E7" s="44">
        <v>0.88210899999999992</v>
      </c>
      <c r="F7" s="44">
        <v>0.80438900000000002</v>
      </c>
      <c r="G7" s="44">
        <v>0.89213600000000004</v>
      </c>
      <c r="H7" s="44">
        <v>0.87721300000000002</v>
      </c>
      <c r="I7" s="44">
        <v>0.85396899999999998</v>
      </c>
      <c r="J7" s="44">
        <v>0.8408199999999999</v>
      </c>
    </row>
    <row r="8" spans="1:10" x14ac:dyDescent="0.25">
      <c r="A8" s="54" t="s">
        <v>36</v>
      </c>
      <c r="B8" s="100">
        <v>0.71360000000000001</v>
      </c>
      <c r="C8" s="97">
        <v>0.64632857142857147</v>
      </c>
      <c r="D8" s="100">
        <v>1.177</v>
      </c>
      <c r="E8" s="100">
        <v>0.74360000000000004</v>
      </c>
      <c r="F8" s="100">
        <v>1.3213999999999999</v>
      </c>
      <c r="G8" s="100">
        <v>0</v>
      </c>
      <c r="H8" s="100">
        <v>0</v>
      </c>
      <c r="I8" s="100">
        <v>0</v>
      </c>
      <c r="J8" s="100">
        <v>1.2823</v>
      </c>
    </row>
    <row r="9" spans="1:10" x14ac:dyDescent="0.25">
      <c r="A9" s="54" t="s">
        <v>38</v>
      </c>
      <c r="B9" s="96">
        <v>4.8382562885363543</v>
      </c>
      <c r="C9" s="97">
        <v>3.1406104746977088</v>
      </c>
      <c r="D9" s="96">
        <v>5.5014826719611873</v>
      </c>
      <c r="E9" s="96">
        <v>6.7407026378540698</v>
      </c>
      <c r="F9" s="96">
        <v>3.4672976835458975</v>
      </c>
      <c r="G9" s="96">
        <v>1.1424499886906132</v>
      </c>
      <c r="H9" s="96">
        <v>0.79737446070691531</v>
      </c>
      <c r="I9" s="96">
        <v>0.20963235449697701</v>
      </c>
      <c r="J9" s="96">
        <v>4.1253335256282995</v>
      </c>
    </row>
    <row r="10" spans="1:10" ht="21.6" customHeight="1" x14ac:dyDescent="0.25">
      <c r="A10" s="54" t="s">
        <v>39</v>
      </c>
      <c r="B10" s="100">
        <v>2.64E-2</v>
      </c>
      <c r="C10" s="97">
        <v>2.3428571428571427E-2</v>
      </c>
      <c r="D10" s="100">
        <v>2.0500000000000001E-2</v>
      </c>
      <c r="E10" s="100">
        <v>7.7799999999999994E-2</v>
      </c>
      <c r="F10" s="100">
        <v>3.44E-2</v>
      </c>
      <c r="G10" s="100">
        <v>0</v>
      </c>
      <c r="H10" s="100">
        <v>0</v>
      </c>
      <c r="I10" s="100">
        <v>0</v>
      </c>
      <c r="J10" s="100">
        <v>3.1300000000000001E-2</v>
      </c>
    </row>
    <row r="11" spans="1:10" x14ac:dyDescent="0.25">
      <c r="A11" s="54" t="s">
        <v>40</v>
      </c>
      <c r="B11" s="100">
        <v>55.425571461300002</v>
      </c>
      <c r="C11" s="97">
        <v>112.05516347868571</v>
      </c>
      <c r="D11" s="100">
        <v>93.486153090000002</v>
      </c>
      <c r="E11" s="100">
        <v>359.34350999999998</v>
      </c>
      <c r="F11" s="100">
        <v>40.771669599799999</v>
      </c>
      <c r="G11" s="100">
        <v>29.7071804011</v>
      </c>
      <c r="H11" s="100">
        <v>61.742357623300002</v>
      </c>
      <c r="I11" s="100">
        <v>26.533263660399999</v>
      </c>
      <c r="J11" s="100">
        <v>172.8020099762</v>
      </c>
    </row>
    <row r="12" spans="1:10" s="7" customFormat="1" x14ac:dyDescent="0.25">
      <c r="A12" s="9" t="s">
        <v>41</v>
      </c>
      <c r="B12" s="45">
        <v>4.8604000000000003</v>
      </c>
      <c r="C12" s="97">
        <v>1.479957142857143</v>
      </c>
      <c r="D12" s="45">
        <v>0</v>
      </c>
      <c r="E12" s="45">
        <v>0.7288</v>
      </c>
      <c r="F12" s="45">
        <v>0.22869999999999999</v>
      </c>
      <c r="G12" s="45">
        <v>0</v>
      </c>
      <c r="H12" s="45">
        <v>0</v>
      </c>
      <c r="I12" s="45">
        <v>0</v>
      </c>
      <c r="J12" s="45">
        <v>9.4022000000000006</v>
      </c>
    </row>
    <row r="13" spans="1:10" s="7" customFormat="1" x14ac:dyDescent="0.25">
      <c r="A13" s="9" t="s">
        <v>42</v>
      </c>
      <c r="B13" s="45">
        <v>0.50889300000000004</v>
      </c>
      <c r="C13" s="97">
        <v>0.30018971428571428</v>
      </c>
      <c r="D13" s="45">
        <v>0.45830399999999999</v>
      </c>
      <c r="E13" s="45">
        <v>0.41137200000000002</v>
      </c>
      <c r="F13" s="45">
        <v>0.62148700000000001</v>
      </c>
      <c r="G13" s="45">
        <v>0</v>
      </c>
      <c r="H13" s="45">
        <v>0</v>
      </c>
      <c r="I13" s="45">
        <v>0</v>
      </c>
      <c r="J13" s="45">
        <v>0.61016499999999996</v>
      </c>
    </row>
    <row r="14" spans="1:10" s="7" customFormat="1" x14ac:dyDescent="0.25">
      <c r="A14" s="9" t="s">
        <v>43</v>
      </c>
      <c r="B14" s="101">
        <v>10.215646045</v>
      </c>
      <c r="C14" s="97">
        <v>22.796939795342862</v>
      </c>
      <c r="D14" s="101">
        <v>19.985997080000001</v>
      </c>
      <c r="E14" s="101">
        <v>31.561260000000001</v>
      </c>
      <c r="F14" s="101">
        <v>12.512638248499998</v>
      </c>
      <c r="G14" s="101">
        <v>16.2854935043</v>
      </c>
      <c r="H14" s="101">
        <v>26.036750611199999</v>
      </c>
      <c r="I14" s="101">
        <v>14.274556715399999</v>
      </c>
      <c r="J14" s="101">
        <v>38.921882408000002</v>
      </c>
    </row>
    <row r="15" spans="1:10" x14ac:dyDescent="0.25">
      <c r="A15" s="54" t="s">
        <v>45</v>
      </c>
      <c r="B15" s="44">
        <v>0.11074299999999999</v>
      </c>
      <c r="C15" s="97">
        <v>0.13175728571428572</v>
      </c>
      <c r="D15" s="44">
        <v>0.11198499999999999</v>
      </c>
      <c r="E15" s="44">
        <v>8.3789000000000002E-2</v>
      </c>
      <c r="F15" s="44">
        <v>0.11161599999999999</v>
      </c>
      <c r="G15" s="44">
        <v>0.128412</v>
      </c>
      <c r="H15" s="44">
        <v>0.221246</v>
      </c>
      <c r="I15" s="44">
        <v>0.13639099999999998</v>
      </c>
      <c r="J15" s="44">
        <v>0.128862</v>
      </c>
    </row>
    <row r="16" spans="1:10" s="7" customFormat="1" ht="25.8" customHeight="1" x14ac:dyDescent="0.25">
      <c r="A16" s="9" t="s">
        <v>46</v>
      </c>
      <c r="B16" s="101">
        <v>-123.40875424149999</v>
      </c>
      <c r="C16" s="97">
        <v>-48.983289237985723</v>
      </c>
      <c r="D16" s="101">
        <v>-89.682016759999996</v>
      </c>
      <c r="E16" s="101">
        <v>210.23230000000001</v>
      </c>
      <c r="F16" s="101">
        <v>-106.8250900216</v>
      </c>
      <c r="G16" s="101">
        <v>-89.279442043099991</v>
      </c>
      <c r="H16" s="101">
        <v>113.2593879476</v>
      </c>
      <c r="I16" s="101">
        <v>31.360020664899999</v>
      </c>
      <c r="J16" s="101">
        <v>-411.94818445370004</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458</v>
      </c>
      <c r="B1" s="119"/>
      <c r="C1" s="119"/>
      <c r="D1" s="119"/>
      <c r="E1" s="119"/>
      <c r="F1" s="119"/>
    </row>
    <row r="2" spans="1:6" x14ac:dyDescent="0.25">
      <c r="A2" s="51" t="s">
        <v>459</v>
      </c>
      <c r="B2" s="50" t="s">
        <v>460</v>
      </c>
      <c r="C2" s="50" t="s">
        <v>461</v>
      </c>
      <c r="D2" s="50" t="s">
        <v>462</v>
      </c>
      <c r="E2" s="50" t="s">
        <v>427</v>
      </c>
      <c r="F2" s="50" t="s">
        <v>463</v>
      </c>
    </row>
    <row r="3" spans="1:6" ht="48" customHeight="1" x14ac:dyDescent="0.25">
      <c r="A3" s="53" t="s">
        <v>464</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465</v>
      </c>
      <c r="B18" s="138"/>
      <c r="C18" s="138"/>
      <c r="D18" s="138"/>
      <c r="E18" s="138"/>
      <c r="F18" s="138"/>
    </row>
    <row r="19" spans="1:6" x14ac:dyDescent="0.25">
      <c r="A19" s="83" t="s">
        <v>459</v>
      </c>
      <c r="B19" s="83" t="s">
        <v>460</v>
      </c>
      <c r="C19" s="83" t="s">
        <v>466</v>
      </c>
      <c r="D19" s="83" t="s">
        <v>467</v>
      </c>
      <c r="E19" s="83" t="s">
        <v>427</v>
      </c>
      <c r="F19" s="83" t="s">
        <v>463</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468</v>
      </c>
      <c r="B1" s="119"/>
      <c r="C1" s="119"/>
      <c r="D1" s="119"/>
      <c r="E1" s="119"/>
      <c r="F1" s="119"/>
      <c r="G1" s="119"/>
      <c r="H1" s="119"/>
      <c r="I1" s="119"/>
      <c r="J1" s="119"/>
      <c r="K1" s="119"/>
      <c r="L1" s="119"/>
      <c r="M1" s="119"/>
      <c r="N1" s="119"/>
    </row>
    <row r="2" spans="1:18" s="1" customFormat="1" ht="25.5" customHeight="1" x14ac:dyDescent="0.25">
      <c r="A2" s="55" t="s">
        <v>469</v>
      </c>
      <c r="B2" s="55" t="s">
        <v>470</v>
      </c>
      <c r="C2" s="55" t="s">
        <v>471</v>
      </c>
      <c r="D2" s="55" t="s">
        <v>472</v>
      </c>
      <c r="E2" s="55" t="s">
        <v>473</v>
      </c>
      <c r="F2" s="55" t="s">
        <v>474</v>
      </c>
      <c r="G2" s="55" t="s">
        <v>475</v>
      </c>
      <c r="H2" s="55" t="s">
        <v>16</v>
      </c>
      <c r="I2" s="55" t="s">
        <v>476</v>
      </c>
      <c r="J2" s="55" t="s">
        <v>477</v>
      </c>
      <c r="K2" s="55" t="s">
        <v>478</v>
      </c>
      <c r="L2" s="55" t="s">
        <v>479</v>
      </c>
      <c r="M2" s="55" t="s">
        <v>19</v>
      </c>
      <c r="N2" s="55" t="s">
        <v>480</v>
      </c>
      <c r="O2" s="3"/>
      <c r="P2" s="105" t="str">
        <f ca="1">Q2</f>
        <v>2019-04-17</v>
      </c>
      <c r="Q2" s="1" t="str">
        <f ca="1">[1]!td(R2-1)</f>
        <v>2019-04-17</v>
      </c>
      <c r="R2" s="3">
        <f ca="1">TODAY()</f>
        <v>43573</v>
      </c>
    </row>
    <row r="3" spans="1:18" ht="15.75" customHeight="1" x14ac:dyDescent="0.25">
      <c r="A3" s="106" t="str">
        <f>[1]!b_info_name(L3)</f>
        <v>19中航租赁CP002</v>
      </c>
      <c r="B3" s="2" t="str">
        <f>[1]!b_issue_firstissue(L3)</f>
        <v>2019-04-19</v>
      </c>
      <c r="C3" s="106">
        <f>[1]!b_info_term(L3)</f>
        <v>1</v>
      </c>
      <c r="D3" s="107" t="str">
        <f>[1]!issuerrating(L3)</f>
        <v>AAA</v>
      </c>
      <c r="E3" s="107" t="str">
        <f>[1]!b_info_creditrating(L3)</f>
        <v>A-1</v>
      </c>
      <c r="F3" s="106" t="str">
        <f>[1]!b_rate_creditratingagency(L3)</f>
        <v>中诚信国际信用评级有限责任公司</v>
      </c>
      <c r="G3" s="108">
        <f>[1]!b_agency_guarantor(L3)</f>
        <v>0</v>
      </c>
      <c r="H3" s="109" t="s">
        <v>481</v>
      </c>
      <c r="I3" s="65"/>
      <c r="J3" s="110" t="s">
        <v>481</v>
      </c>
      <c r="K3" s="111"/>
      <c r="L3" s="41" t="str">
        <f>公式页!A2</f>
        <v>d19041602.IB</v>
      </c>
      <c r="M3" s="109" t="s">
        <v>481</v>
      </c>
      <c r="N3" s="106" t="str">
        <f>[1]!b_agency_leadunderwriter(L3)</f>
        <v>上海农村商业银行股份有限公司,上海浦东发展银行股份有限公司</v>
      </c>
      <c r="P3" s="104" t="str">
        <f t="shared" ref="P3:P29" ca="1" si="0">$P$2</f>
        <v>2019-04-17</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3.7271000000000001</v>
      </c>
      <c r="K4" s="111">
        <f>K3</f>
        <v>0</v>
      </c>
      <c r="L4" s="4" t="s">
        <v>482</v>
      </c>
      <c r="M4" s="109">
        <f>[1]!b_info_issueamount(L4)/100000000</f>
        <v>5</v>
      </c>
      <c r="N4" s="106" t="str">
        <f>[1]!b_agency_leadunderwriter(L4)</f>
        <v>上海浦东发展银行股份有限公司,中国国际金融股份有限公司</v>
      </c>
      <c r="P4" s="104" t="str">
        <f t="shared" ca="1" si="0"/>
        <v>2019-04-17</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2019-04-17</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2019-04-17</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2019-04-17</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2019-04-17</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2019-04-17</v>
      </c>
    </row>
    <row r="10" spans="1:18" x14ac:dyDescent="0.25">
      <c r="P10" s="104" t="str">
        <f t="shared" ca="1" si="0"/>
        <v>2019-04-17</v>
      </c>
    </row>
    <row r="11" spans="1:18" x14ac:dyDescent="0.25">
      <c r="P11" s="104" t="str">
        <f t="shared" ca="1" si="0"/>
        <v>2019-04-17</v>
      </c>
    </row>
    <row r="12" spans="1:18" x14ac:dyDescent="0.25">
      <c r="A12" s="145" t="s">
        <v>483</v>
      </c>
      <c r="B12" s="119"/>
      <c r="C12" s="119"/>
      <c r="D12" s="119"/>
      <c r="E12" s="119"/>
      <c r="F12" s="119"/>
      <c r="G12" s="119"/>
      <c r="H12" s="119"/>
      <c r="I12" s="119"/>
      <c r="J12" s="119"/>
      <c r="K12" s="119"/>
      <c r="L12" s="119"/>
      <c r="M12" s="119"/>
      <c r="N12" s="119"/>
      <c r="P12" s="104" t="str">
        <f t="shared" ca="1" si="0"/>
        <v>2019-04-17</v>
      </c>
    </row>
    <row r="13" spans="1:18" s="1" customFormat="1" ht="43.2" customHeight="1" x14ac:dyDescent="0.25">
      <c r="A13" s="55" t="s">
        <v>469</v>
      </c>
      <c r="B13" s="55" t="s">
        <v>470</v>
      </c>
      <c r="C13" s="55" t="s">
        <v>471</v>
      </c>
      <c r="D13" s="55" t="s">
        <v>472</v>
      </c>
      <c r="E13" s="55" t="s">
        <v>473</v>
      </c>
      <c r="F13" s="55" t="s">
        <v>474</v>
      </c>
      <c r="G13" s="55" t="s">
        <v>475</v>
      </c>
      <c r="H13" s="55" t="s">
        <v>16</v>
      </c>
      <c r="I13" s="55" t="s">
        <v>476</v>
      </c>
      <c r="J13" s="55" t="s">
        <v>477</v>
      </c>
      <c r="K13" s="55" t="s">
        <v>478</v>
      </c>
      <c r="L13" s="55" t="s">
        <v>479</v>
      </c>
      <c r="M13" s="55" t="s">
        <v>19</v>
      </c>
      <c r="N13" s="55" t="s">
        <v>480</v>
      </c>
      <c r="P13" s="104" t="str">
        <f t="shared" ca="1" si="0"/>
        <v>2019-04-17</v>
      </c>
    </row>
    <row r="14" spans="1:18" ht="15.75" customHeight="1" x14ac:dyDescent="0.25">
      <c r="A14" s="106" t="str">
        <f>[1]!b_info_name(L14)</f>
        <v>19中航租赁CP002</v>
      </c>
      <c r="B14" s="2" t="str">
        <f>[1]!b_issue_firstissue(L14)</f>
        <v>2019-04-19</v>
      </c>
      <c r="C14" s="106">
        <f>[1]!b_info_term(L14)</f>
        <v>1</v>
      </c>
      <c r="D14" s="107" t="str">
        <f>[1]!issuerrating(L14)</f>
        <v>AAA</v>
      </c>
      <c r="E14" s="107" t="str">
        <f>[1]!b_info_creditrating(L14)</f>
        <v>A-1</v>
      </c>
      <c r="F14" s="106" t="str">
        <f>[1]!b_rate_creditratingagency(L14)</f>
        <v>中诚信国际信用评级有限责任公司</v>
      </c>
      <c r="G14" s="108">
        <f>[1]!b_agency_guarantor(L14)</f>
        <v>0</v>
      </c>
      <c r="H14" s="109" t="s">
        <v>481</v>
      </c>
      <c r="I14" s="65"/>
      <c r="J14" s="110" t="s">
        <v>481</v>
      </c>
      <c r="K14" s="111">
        <f>K3</f>
        <v>0</v>
      </c>
      <c r="L14" s="42" t="str">
        <f>L3</f>
        <v>d19041602.IB</v>
      </c>
      <c r="M14" s="109" t="s">
        <v>481</v>
      </c>
      <c r="N14" s="106" t="str">
        <f>[1]!b_agency_leadunderwriter(L14)</f>
        <v>上海农村商业银行股份有限公司,上海浦东发展银行股份有限公司</v>
      </c>
      <c r="P14" s="104" t="str">
        <f t="shared" ca="1" si="0"/>
        <v>2019-04-17</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484</v>
      </c>
      <c r="M15" s="109">
        <f>[1]!b_info_issueamount(L15)/100000000</f>
        <v>5</v>
      </c>
      <c r="N15" s="106" t="str">
        <f>[1]!b_agency_leadunderwriter(L15)</f>
        <v>招商银行股份有限公司</v>
      </c>
      <c r="O15" t="str">
        <f>[1]!b_issuer_windindustry(L15,4)</f>
        <v>西药</v>
      </c>
      <c r="P15" s="104" t="str">
        <f t="shared" ca="1" si="0"/>
        <v>2019-04-17</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485</v>
      </c>
      <c r="M16" s="109">
        <f>[1]!b_info_issueamount(L16)/100000000</f>
        <v>6</v>
      </c>
      <c r="N16" s="106" t="str">
        <f>[1]!b_agency_leadunderwriter(L16)</f>
        <v>北京银行股份有限公司</v>
      </c>
      <c r="O16" t="str">
        <f>[1]!b_issuer_windindustry(L16,4)</f>
        <v>化肥与农用化工</v>
      </c>
      <c r="P16" s="104" t="str">
        <f t="shared" ca="1" si="0"/>
        <v>2019-04-17</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486</v>
      </c>
      <c r="M17" s="109">
        <f>[1]!b_info_issueamount(L17)/100000000</f>
        <v>3.5</v>
      </c>
      <c r="N17" s="106" t="str">
        <f>[1]!b_agency_leadunderwriter(L17)</f>
        <v>华夏银行股份有限公司</v>
      </c>
      <c r="O17" t="str">
        <f>[1]!b_issuer_windindustry(L17,4)</f>
        <v>食品加工与肉类</v>
      </c>
      <c r="P17" s="104" t="str">
        <f t="shared" ca="1" si="0"/>
        <v>2019-04-17</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487</v>
      </c>
      <c r="M18" s="109">
        <f>[1]!b_info_issueamount(L18)/100000000</f>
        <v>3</v>
      </c>
      <c r="N18" s="106" t="str">
        <f>[1]!b_agency_leadunderwriter(L18)</f>
        <v>兴业银行股份有限公司</v>
      </c>
      <c r="O18" t="str">
        <f>[1]!b_issuer_windindustry(L18,4)</f>
        <v>工业机械</v>
      </c>
      <c r="P18" s="104" t="str">
        <f t="shared" ca="1" si="0"/>
        <v>2019-04-17</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488</v>
      </c>
      <c r="M19" s="109">
        <f>[1]!b_info_issueamount(L19)/100000000</f>
        <v>3</v>
      </c>
      <c r="N19" s="106" t="str">
        <f>[1]!b_agency_leadunderwriter(L19)</f>
        <v>中国银行股份有限公司</v>
      </c>
      <c r="O19" t="str">
        <f>[1]!b_issuer_windindustry(L19,4)</f>
        <v>半导体产品</v>
      </c>
      <c r="P19" s="104" t="str">
        <f t="shared" ca="1" si="0"/>
        <v>2019-04-17</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489</v>
      </c>
      <c r="M20" s="109">
        <f>[1]!b_info_issueamount(L20)/100000000</f>
        <v>5</v>
      </c>
      <c r="N20" s="106" t="str">
        <f>[1]!b_agency_leadunderwriter(L20)</f>
        <v>中国银行股份有限公司</v>
      </c>
      <c r="O20" t="str">
        <f>[1]!b_issuer_windindustry(L20,4)</f>
        <v>医疗保健用品</v>
      </c>
      <c r="P20" s="104" t="str">
        <f t="shared" ca="1" si="0"/>
        <v>2019-04-17</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490</v>
      </c>
      <c r="M21" s="109">
        <f>[1]!b_info_issueamount(L21)/100000000</f>
        <v>2</v>
      </c>
      <c r="N21" s="106" t="str">
        <f>[1]!b_agency_leadunderwriter(L21)</f>
        <v>中国银行股份有限公司</v>
      </c>
      <c r="O21" t="str">
        <f>[1]!b_issuer_windindustry(L21,4)</f>
        <v>食品加工与肉类</v>
      </c>
      <c r="P21" s="104" t="str">
        <f t="shared" ca="1" si="0"/>
        <v>2019-04-17</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491</v>
      </c>
      <c r="M22" s="109">
        <f>[1]!b_info_issueamount(L22)/100000000</f>
        <v>4</v>
      </c>
      <c r="N22" s="106" t="str">
        <f>[1]!b_agency_leadunderwriter(L22)</f>
        <v>中国工商银行股份有限公司</v>
      </c>
      <c r="O22" t="str">
        <f>[1]!b_issuer_windindustry(L22,4)</f>
        <v>酒店、度假村与豪华游轮</v>
      </c>
      <c r="P22" s="104" t="str">
        <f t="shared" ca="1" si="0"/>
        <v>2019-04-17</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492</v>
      </c>
      <c r="M23" s="109">
        <f>[1]!b_info_issueamount(L23)/100000000</f>
        <v>4</v>
      </c>
      <c r="N23" s="106" t="str">
        <f>[1]!b_agency_leadunderwriter(L23)</f>
        <v>中国银行股份有限公司</v>
      </c>
      <c r="O23" t="str">
        <f>[1]!b_issuer_windindustry(L23,4)</f>
        <v>金属非金属</v>
      </c>
      <c r="P23" s="104" t="str">
        <f t="shared" ca="1" si="0"/>
        <v>2019-04-17</v>
      </c>
    </row>
    <row r="24" spans="1:16" x14ac:dyDescent="0.25">
      <c r="P24" s="104" t="str">
        <f t="shared" ca="1" si="0"/>
        <v>2019-04-17</v>
      </c>
    </row>
    <row r="25" spans="1:16" x14ac:dyDescent="0.25">
      <c r="P25" s="104" t="str">
        <f t="shared" ca="1" si="0"/>
        <v>2019-04-17</v>
      </c>
    </row>
    <row r="26" spans="1:16" x14ac:dyDescent="0.25">
      <c r="P26" s="104" t="str">
        <f t="shared" ca="1" si="0"/>
        <v>2019-04-17</v>
      </c>
    </row>
    <row r="27" spans="1:16" x14ac:dyDescent="0.25">
      <c r="P27" s="104" t="str">
        <f t="shared" ca="1" si="0"/>
        <v>2019-04-17</v>
      </c>
    </row>
    <row r="28" spans="1:16" x14ac:dyDescent="0.25">
      <c r="P28" s="104" t="str">
        <f t="shared" ca="1" si="0"/>
        <v>2019-04-17</v>
      </c>
    </row>
    <row r="29" spans="1:16" x14ac:dyDescent="0.25">
      <c r="P29" s="104"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2019-04-18T07:51:21Z</dcterms:modified>
</cp:coreProperties>
</file>