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9新券信评\"/>
    </mc:Choice>
  </mc:AlternateContent>
  <xr:revisionPtr revIDLastSave="0" documentId="13_ncr:1_{01C2CCBA-7BFC-4173-B2DD-7E50D0234984}"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Q2"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G95" i="1"/>
  <c r="C93"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C95" i="1"/>
  <c r="B93"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E94" i="1"/>
  <c r="E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G93" i="1"/>
  <c r="D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C22" i="1"/>
  <c r="L21" i="1"/>
  <c r="B21" i="1"/>
  <c r="N20" i="1"/>
  <c r="F20" i="1"/>
  <c r="B20" i="1"/>
  <c r="O19" i="1"/>
  <c r="J19" i="1"/>
  <c r="D19" i="1"/>
  <c r="F18" i="1"/>
  <c r="B18" i="1"/>
  <c r="O17" i="1"/>
  <c r="J17" i="1"/>
  <c r="D17" i="1"/>
  <c r="G16" i="1"/>
  <c r="C16" i="1"/>
  <c r="P15" i="1"/>
  <c r="L15" i="1"/>
  <c r="E15" i="1"/>
  <c r="G14" i="1"/>
  <c r="C14" i="1"/>
  <c r="F10" i="1"/>
  <c r="F8" i="1"/>
  <c r="B6" i="1"/>
  <c r="B4" i="1"/>
  <c r="Q21" i="1"/>
  <c r="F21" i="1"/>
  <c r="R20" i="1"/>
  <c r="L20" i="1"/>
  <c r="E20" i="1"/>
  <c r="R19" i="1"/>
  <c r="N19" i="1"/>
  <c r="G19" i="1"/>
  <c r="C19" i="1"/>
  <c r="E18" i="1"/>
  <c r="R17" i="1"/>
  <c r="N17" i="1"/>
  <c r="G17" i="1"/>
  <c r="C17" i="1"/>
  <c r="F16" i="1"/>
  <c r="B16" i="1"/>
  <c r="O15" i="1"/>
  <c r="J15" i="1"/>
  <c r="D15" i="1"/>
  <c r="F14" i="1"/>
  <c r="B14" i="1"/>
  <c r="B10" i="1"/>
  <c r="B8" i="1"/>
  <c r="E5" i="1"/>
  <c r="P21" i="1"/>
  <c r="E21" i="1"/>
  <c r="P20" i="1"/>
  <c r="J20" i="1"/>
  <c r="D20" i="1"/>
  <c r="Q19" i="1"/>
  <c r="M19" i="1"/>
  <c r="F19" i="1"/>
  <c r="B19" i="1"/>
  <c r="D18" i="1"/>
  <c r="Q17" i="1"/>
  <c r="M17" i="1"/>
  <c r="F17" i="1"/>
  <c r="B17" i="1"/>
  <c r="E16" i="1"/>
  <c r="R15" i="1"/>
  <c r="N15" i="1"/>
  <c r="G15" i="1"/>
  <c r="C15" i="1"/>
  <c r="E14" i="1"/>
  <c r="F11" i="1"/>
  <c r="F9" i="1"/>
  <c r="F7" i="1"/>
  <c r="B5" i="1"/>
  <c r="G22" i="1"/>
  <c r="M21" i="1"/>
  <c r="C21" i="1"/>
  <c r="O20" i="1"/>
  <c r="G20" i="1"/>
  <c r="C20" i="1"/>
  <c r="P19" i="1"/>
  <c r="L19" i="1"/>
  <c r="E19" i="1"/>
  <c r="G18" i="1"/>
  <c r="C18" i="1"/>
  <c r="P17" i="1"/>
  <c r="L17" i="1"/>
  <c r="E17" i="1"/>
  <c r="J16" i="1"/>
  <c r="D16" i="1"/>
  <c r="Q15" i="1"/>
  <c r="M15" i="1"/>
  <c r="F15" i="1"/>
  <c r="B15" i="1"/>
  <c r="D14" i="1"/>
  <c r="B11" i="1"/>
  <c r="B9" i="1"/>
  <c r="B7" i="1"/>
  <c r="E4" i="1"/>
  <c r="J22" i="1" l="1"/>
  <c r="O22" i="1"/>
  <c r="B110" i="1"/>
  <c r="H112" i="1"/>
  <c r="B117" i="1"/>
  <c r="H119" i="1"/>
  <c r="D120" i="1"/>
  <c r="B121" i="1"/>
  <c r="D122" i="1"/>
  <c r="H123" i="1"/>
  <c r="B125" i="1"/>
  <c r="H126" i="1"/>
  <c r="H128" i="1"/>
  <c r="H130" i="1"/>
  <c r="L22" i="1"/>
  <c r="P22" i="1"/>
  <c r="H110" i="1"/>
  <c r="D117" i="1"/>
  <c r="B118" i="1"/>
  <c r="H120" i="1"/>
  <c r="D121" i="1"/>
  <c r="H122" i="1"/>
  <c r="B124" i="1"/>
  <c r="D125" i="1"/>
  <c r="B127" i="1"/>
  <c r="B129" i="1"/>
  <c r="B131" i="1"/>
  <c r="M22" i="1"/>
  <c r="Q22"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8" i="6"/>
  <c r="J17" i="6"/>
  <c r="J16" i="6"/>
  <c r="J9" i="6"/>
  <c r="J22" i="6"/>
  <c r="J15" i="6"/>
  <c r="J7" i="6"/>
  <c r="J23" i="6"/>
  <c r="J5" i="6"/>
  <c r="J18" i="6"/>
  <c r="J20" i="6"/>
  <c r="J6" i="6"/>
  <c r="J19" i="6"/>
  <c r="J21" i="6"/>
</calcChain>
</file>

<file path=xl/sharedStrings.xml><?xml version="1.0" encoding="utf-8"?>
<sst xmlns="http://schemas.openxmlformats.org/spreadsheetml/2006/main" count="674" uniqueCount="343">
  <si>
    <t>q19041711.IB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</si>
  <si>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</si>
  <si>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</si>
  <si>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</si>
  <si>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</si>
  <si>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</si>
  <si>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</si>
  <si>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</si>
  <si>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</si>
  <si>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</si>
  <si>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</si>
  <si>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</si>
  <si>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</si>
  <si>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</si>
  <si>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</si>
  <si>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</si>
  <si>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</si>
  <si>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</si>
  <si>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</si>
  <si>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</si>
  <si>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</si>
  <si>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</si>
  <si>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</si>
  <si>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122025.SH</t>
  </si>
  <si>
    <t>主体级别</t>
  </si>
  <si>
    <t>AAA</t>
  </si>
  <si>
    <t>112005.SZ</t>
  </si>
  <si>
    <t>*选择性黏贴</t>
  </si>
  <si>
    <t>101451021.IB</t>
  </si>
  <si>
    <t>数据年度</t>
  </si>
  <si>
    <t>2017年</t>
  </si>
  <si>
    <t>101573001.IB</t>
  </si>
  <si>
    <t>总资产</t>
  </si>
  <si>
    <t>1280151.IB</t>
  </si>
  <si>
    <t>负债率</t>
  </si>
  <si>
    <t>1480067.IB</t>
  </si>
  <si>
    <t>流动比率</t>
  </si>
  <si>
    <t>124221.SH</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</si>
  <si>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</si>
  <si>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</si>
  <si>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</si>
  <si>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</si>
  <si>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</si>
  <si>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</si>
  <si>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</si>
  <si>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</si>
  <si>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</si>
  <si>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</si>
  <si>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</si>
  <si>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</si>
  <si>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</si>
  <si>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</si>
  <si>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</si>
  <si>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</si>
  <si>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</si>
  <si>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</si>
  <si>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</si>
  <si>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</si>
  <si>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</si>
  <si>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</si>
  <si>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</si>
  <si>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</si>
  <si>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</si>
  <si>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</si>
  <si>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</si>
  <si>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</si>
  <si>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</si>
  <si>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</si>
  <si>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</si>
  <si>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</si>
  <si>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</si>
  <si>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</si>
  <si>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</si>
  <si>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</si>
  <si>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</si>
  <si>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</si>
  <si>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</si>
  <si>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</si>
  <si>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</si>
  <si>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</si>
  <si>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</si>
  <si>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</si>
  <si>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</si>
  <si>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</si>
  <si>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</si>
  <si>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</si>
  <si>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</si>
  <si>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</si>
  <si>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</si>
  <si>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</si>
  <si>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</si>
  <si>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</si>
  <si>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</si>
  <si>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</si>
  <si>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</si>
  <si>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</si>
  <si>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</si>
  <si>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</si>
  <si>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</si>
  <si>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</si>
  <si>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</si>
  <si>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</si>
  <si>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</si>
  <si>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</si>
  <si>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</si>
  <si>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</si>
  <si>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</si>
  <si>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</si>
  <si>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</si>
  <si>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</si>
  <si>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</si>
  <si>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</si>
  <si>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</si>
  <si>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</si>
  <si>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</si>
  <si>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</si>
  <si>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</si>
  <si>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</si>
  <si>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</si>
  <si>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</si>
  <si>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</si>
  <si>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011900802.IB</t>
  </si>
  <si>
    <t>20190401</t>
  </si>
  <si>
    <t>19华发集团SCP003</t>
  </si>
  <si>
    <t>112871.SZ</t>
  </si>
  <si>
    <t>20190314</t>
  </si>
  <si>
    <t>19珠纾02</t>
  </si>
  <si>
    <t>011900633.IB</t>
  </si>
  <si>
    <t>19华发集团SCP002</t>
  </si>
  <si>
    <t>011900369.IB</t>
  </si>
  <si>
    <t>20190218</t>
  </si>
  <si>
    <t>19华发集团SCP001</t>
  </si>
  <si>
    <t>112850.SZ</t>
  </si>
  <si>
    <t>20190123</t>
  </si>
  <si>
    <t>19珠控01</t>
  </si>
  <si>
    <t>101900109.IB</t>
  </si>
  <si>
    <t>20190121</t>
  </si>
  <si>
    <t>19华发集团MTN002</t>
  </si>
  <si>
    <t>101900052.IB</t>
  </si>
  <si>
    <t>20190114</t>
  </si>
  <si>
    <t>19华发集团MTN001</t>
  </si>
  <si>
    <t>011802493.IB</t>
  </si>
  <si>
    <t>20181213</t>
  </si>
  <si>
    <t>18华发集团SCP007</t>
  </si>
  <si>
    <t>101801480.IB</t>
  </si>
  <si>
    <t>20181211</t>
  </si>
  <si>
    <t>18华发集团MTN001</t>
  </si>
  <si>
    <t>011801868.IB</t>
  </si>
  <si>
    <t>20180926</t>
  </si>
  <si>
    <t>18华发集团SCP006</t>
  </si>
  <si>
    <t>011801831.IB</t>
  </si>
  <si>
    <t>20180920</t>
  </si>
  <si>
    <t>18华发集团SCP005</t>
  </si>
  <si>
    <t>011801713.IB</t>
  </si>
  <si>
    <t>20180829</t>
  </si>
  <si>
    <t>18华发集团SCP004</t>
  </si>
  <si>
    <t>011801672.IB</t>
  </si>
  <si>
    <t>20180824</t>
  </si>
  <si>
    <t>18华发集团SCP003</t>
  </si>
  <si>
    <t>143751.SH</t>
  </si>
  <si>
    <t>20180815</t>
  </si>
  <si>
    <t>18华综01</t>
  </si>
  <si>
    <t>011801494.IB</t>
  </si>
  <si>
    <t>20180808</t>
  </si>
  <si>
    <t>18华发集团SCP002</t>
  </si>
  <si>
    <t>011801475.IB</t>
  </si>
  <si>
    <t>20180807</t>
  </si>
  <si>
    <t>18华发集团SCP001</t>
  </si>
  <si>
    <t>143544.SH</t>
  </si>
  <si>
    <t>20180328</t>
  </si>
  <si>
    <t>G18华综1</t>
  </si>
  <si>
    <t>101752047.IB</t>
  </si>
  <si>
    <t>20171218</t>
  </si>
  <si>
    <t>17华发集团MTN002</t>
  </si>
  <si>
    <t>101752044.IB</t>
  </si>
  <si>
    <t>20171206</t>
  </si>
  <si>
    <t>17华发集团MTN001</t>
  </si>
  <si>
    <t>112406.SZ</t>
  </si>
  <si>
    <t>20160624</t>
  </si>
  <si>
    <t>16力合债</t>
  </si>
  <si>
    <t>116052.SZ</t>
  </si>
  <si>
    <t>20151204</t>
  </si>
  <si>
    <t>华发01</t>
  </si>
  <si>
    <t>116058.SZ</t>
  </si>
  <si>
    <t>华发07</t>
  </si>
  <si>
    <t>116056.SZ</t>
  </si>
  <si>
    <t>华发05</t>
  </si>
  <si>
    <t>116055.SZ</t>
  </si>
  <si>
    <t>华发04</t>
  </si>
  <si>
    <t>116053.SZ</t>
  </si>
  <si>
    <t>华发02</t>
  </si>
  <si>
    <t>116057.SZ</t>
  </si>
  <si>
    <t>华发06</t>
  </si>
  <si>
    <t>116054.SZ</t>
  </si>
  <si>
    <t>华发03</t>
  </si>
  <si>
    <t>116059.SZ</t>
  </si>
  <si>
    <t>华发次级</t>
  </si>
  <si>
    <t>1380215.IB</t>
  </si>
  <si>
    <t>20130605</t>
  </si>
  <si>
    <t>13华发集团债</t>
  </si>
  <si>
    <t>124317.SH</t>
  </si>
  <si>
    <t>PR华发债</t>
  </si>
  <si>
    <t>122743.SH</t>
  </si>
  <si>
    <t>20120216</t>
  </si>
  <si>
    <t>PR华发集</t>
  </si>
  <si>
    <t>1280014.IB</t>
  </si>
  <si>
    <t>12华发集团债</t>
  </si>
  <si>
    <t>112870.SZ</t>
  </si>
  <si>
    <t>19珠纾01</t>
  </si>
  <si>
    <t>143752.SH</t>
  </si>
  <si>
    <t>18华综02</t>
  </si>
  <si>
    <t>历史主体评级</t>
  </si>
  <si>
    <t>发布日期</t>
  </si>
  <si>
    <t>主体资信级别</t>
  </si>
  <si>
    <t>评级展望</t>
  </si>
  <si>
    <t>评级机构</t>
  </si>
  <si>
    <t>20190108</t>
  </si>
  <si>
    <t>稳定</t>
  </si>
  <si>
    <t>联合资信评估有限公司</t>
  </si>
  <si>
    <t>20180905</t>
  </si>
  <si>
    <t>20180626</t>
  </si>
  <si>
    <t>20171128</t>
  </si>
  <si>
    <t>20170919</t>
  </si>
  <si>
    <t>20170517</t>
  </si>
  <si>
    <t>20160630</t>
  </si>
  <si>
    <t>AA+</t>
  </si>
  <si>
    <t>20150626</t>
  </si>
  <si>
    <t>20140619</t>
  </si>
  <si>
    <t>20130703</t>
  </si>
  <si>
    <t>20130523</t>
  </si>
  <si>
    <t>20121214</t>
  </si>
  <si>
    <t>20120109</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</si>
  <si>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</si>
  <si>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</si>
  <si>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</si>
  <si>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</si>
  <si>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</si>
  <si>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</si>
  <si>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</si>
  <si>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</si>
  <si>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</si>
  <si>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</si>
  <si>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中粮地产(集团)股份有限公司</t>
  </si>
  <si>
    <t>AA+稳定上调至AAA稳定</t>
  </si>
  <si>
    <t>中证鹏元资信评估股份有限公司</t>
  </si>
  <si>
    <t>公司发行股份收购大悦城地产并募集配套资金，该重大资产重组为公司主营业务注入优质的商业地产元素，整合完成后，中粮地产成为中粮集团有限公司旗下房地产业务板块的唯一平台。大悦城品牌具有显著的区域及品牌优势，其稳定增长的租金收入将持续为公司提供较大规模的现金流入和收入贡献。</t>
  </si>
  <si>
    <t>中华企业股份有限公司</t>
  </si>
  <si>
    <t>AA稳定上调至AA+稳定</t>
  </si>
  <si>
    <t>中诚信证券评估有限公司</t>
  </si>
  <si>
    <t>公司完成对中星集团订购，并引入华润置地、平安不动产作为战略投资者。这解决了公司与中星集团同业竞争问题，有助于补充公司的项目储备，增强公司布局力度及竞争力，公司的资产和自有资本实力均较重组前大幅提升。同时，公司印记华润置地的产品和管理体系及骨干团队，有助于进一步提升公司市场化房地产开发业务的执行效率，加速公司市场化转型进程，有助于提高公司的综合实力。</t>
  </si>
  <si>
    <t>鲁能集团有限公司</t>
  </si>
  <si>
    <t>中诚信国际信用评级有限责任公司</t>
  </si>
  <si>
    <t>公司坚持区域聚焦，深耕已布局城市，项目主要分布于国内一二线城市，在建未售面积中一二线的面积占比70%，且土地成本合理，为公司未来发展奠定了良好基础。财务刚刚在行业内处于较低水平，且货币资金占总债务比较50%以上。此外，公司股东背景强，融资优势明显，融资成本低，融资渠道畅通。</t>
  </si>
  <si>
    <t>绿地控股集团有限公司</t>
  </si>
  <si>
    <t>Ba1负面上调至Ba1稳定</t>
  </si>
  <si>
    <t>穆迪公司</t>
  </si>
  <si>
    <t>华鑫置业(集团)有限公司</t>
  </si>
  <si>
    <t>AA负面上调至AA稳定</t>
  </si>
  <si>
    <t>上海新世纪资信评估投资服务有限公司</t>
  </si>
  <si>
    <t>2017年以来公司在股东背景、负债规模下降等方面取得了积极变化。</t>
  </si>
  <si>
    <t>光明房地产集团股份有限公司</t>
  </si>
  <si>
    <t>公司财务杠杆处于较高水平但近年来略有降低，债务期限结构持续优化，短期刚性债务有所缩减；公司资金回笼情况良好，货币资金较充裕，EBITDA持续增长，债务偿付能力有所提高。公司可获得光明集团持续的融资担保和委托贷款支持，且支持力度加大，融资成本持续降低。总体来看，公司偿债能力较有保障，整体信用质量有所提升。</t>
  </si>
  <si>
    <t>光大嘉宝股份有限公司公司</t>
  </si>
  <si>
    <t>联合信用评级有限公司</t>
  </si>
  <si>
    <t>2017年4月，公司实际控制人变更为光大集团，股东实力雄厚，未来公司有望从股东方获得较大支持，随着公司不动产资管规模的持续扩大和不动产资管业务投入力度的进一步加大，公司的盈利结构进一步的优化，经营状况有望保持良好。</t>
  </si>
  <si>
    <t xml:space="preserve"> 鲁能集团有限公司</t>
  </si>
  <si>
    <t>公司为国家电网旗下住宅地产开发业务的运营平台，2017年受益于可供出售货值的增长，公司房地产销售业绩快速提升，同时咋结转项目规模显著提升的带动下，盈利规模大幅增加，得益于销售回款及拿地力度的所见，经营性现金流大幅净流入。</t>
  </si>
  <si>
    <t>金科地产集团股份有限公司</t>
  </si>
  <si>
    <t>2017年，凭借在重庆地区很强的区域竞争优势和品牌知名度，公司持续保持在重庆区域的领先地位，并带动整体签约销售金额的快速上升。同时，2017年公司继续加快土地储备的获取力度，土地储备较为充足且全国区域布局得到优化，同时丰富的已售待结算资源亦可对公司经营业绩提供保障。</t>
  </si>
  <si>
    <t>合生创展集团有限公司</t>
  </si>
  <si>
    <t>中粮置业投资有限公司</t>
  </si>
  <si>
    <t>2017年，中粮置业持续得到股东较大力度的支持，同时凭借所持大悦城购物中心显著的区位优势，其出租率处于较高水平，租金收入稳步上升。此外，公司所运作的销售型房地产项目亦具有较强的区位优势及很高的产品品质，其销售及结算收入为发行人现金流及盈利规模提供了有益的补充。近年来，公司财务结构保持稳健，经营获现能力对债务本息的保障力度持续增强。</t>
  </si>
  <si>
    <t>中冶置业集团有限公司</t>
  </si>
  <si>
    <t>近一年来同行业发债企业主体评级下调情况</t>
  </si>
  <si>
    <t>主体资信级别下调</t>
  </si>
  <si>
    <t>主体评级展望下调</t>
  </si>
  <si>
    <t>南京建工产业集团有限公司</t>
  </si>
  <si>
    <t>AA-稳定下调至A负面</t>
  </si>
  <si>
    <t>国购投资有限公司</t>
  </si>
  <si>
    <t>B下调至C</t>
  </si>
  <si>
    <t>公司由于账户被查封、现金流短缺以及筹融资渠道受限等原因， 无法按时偿付“ 16 国购01 ”债券利息及回售本金， 己构成实质违约。</t>
  </si>
  <si>
    <t>宁波银亿控股有限公司</t>
  </si>
  <si>
    <t>A+负面下调至B负面</t>
  </si>
  <si>
    <t>大公国际资信评估有限公司</t>
  </si>
  <si>
    <t>银亿股份有限公司</t>
  </si>
  <si>
    <t>BBB下调至C</t>
  </si>
  <si>
    <t>实质性违约</t>
  </si>
  <si>
    <t>北京华业资本控股股份有限公司</t>
  </si>
  <si>
    <t>AA稳定下调至C</t>
  </si>
  <si>
    <t>实质性违约。</t>
  </si>
  <si>
    <t>上海新黄浦置业股份有限公司</t>
  </si>
  <si>
    <t>AA稳定下调至AA负面</t>
  </si>
  <si>
    <t>参股的中泰信托2017年受到监管警示导致长期股权投资价值受到影响，有息负债规模持续增大，面临集中偿付的压力，实际控制权稳定性极弱。</t>
  </si>
  <si>
    <t>中国高科集团股份有限公司</t>
  </si>
  <si>
    <t>AA稳定下调至AA-稳定</t>
  </si>
  <si>
    <t>上海远东资信评估有限公司</t>
  </si>
  <si>
    <t>中弘控股股份有限公司</t>
  </si>
  <si>
    <t>CCC负面下调至C负面</t>
  </si>
  <si>
    <t>2018年3月19日，中弘卓业、王永红与港桥投资签署《战略重组协议》，以期通过重组获得现金流偿还债务。但由于中弘卓业未能与相关债权人就长债安排及该重组事项达成一致，重组先决条件无法实现，目前三方协商一致统一终止该重组事项。中弘股份自身偿债来源匮乏，战略重组事项终止使其短期内无法获得外部资金支持，偿债能力进一步恶化。</t>
  </si>
  <si>
    <t>泰禾集团股份有限公司</t>
  </si>
  <si>
    <t>B1稳定下调至B2稳定</t>
  </si>
  <si>
    <t>预计未来12-18个月泰禾集团去杠杆的速度将慢于预期，而公司到期的境内影子银行贷款及可回售境内债券造成的再融资压力有所增加。</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</si>
  <si>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</si>
  <si>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</si>
  <si>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</si>
  <si>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</si>
  <si>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</si>
  <si>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</si>
  <si>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</si>
  <si>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</si>
  <si>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</si>
  <si>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</si>
  <si>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</si>
  <si>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</si>
  <si>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</si>
  <si>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</si>
  <si>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</si>
  <si>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</si>
  <si>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</si>
  <si>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</si>
  <si>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</si>
  <si>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</si>
  <si>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</si>
  <si>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</si>
  <si>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</si>
  <si>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</si>
  <si>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</si>
  <si>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珠海华发集团有限公司</t>
  </si>
  <si>
    <t>地方国有企业</t>
  </si>
  <si>
    <t>工业--资本货物--建筑与工程Ⅲ--建筑与工程</t>
  </si>
  <si>
    <t>广东省珠海市拱北联安路9号</t>
  </si>
  <si>
    <t>公司是珠海市国资委下属的国有独资公司，也是珠海市规模最大、经营能力最强的总部企业之一。公司目前不仅是珠海市重要的国有资产和城市基础设施运营主体，还肩负着横琴新区启动项目——珠海十字门中央商务区总体规划、土地一级开发和基础设施建设、重点项目建设及招商引资等重要工作。</t>
  </si>
  <si>
    <t>珠海市人民政府国有资产监督管理委员会</t>
  </si>
  <si>
    <t/>
  </si>
  <si>
    <t>首创置业股份有限公司</t>
  </si>
  <si>
    <t>万科企业股份有限公司</t>
  </si>
  <si>
    <t>上海陆家嘴金融贸易区开发股份有限公司</t>
  </si>
  <si>
    <t>招商局蛇口工业区控股股份有限公司</t>
  </si>
  <si>
    <t>上海地产(集团)有限公司</t>
  </si>
  <si>
    <t>北京首都开发控股(集团)有限公司</t>
  </si>
  <si>
    <t>武汉地产开发投资集团有限公司</t>
  </si>
  <si>
    <t>公众企业</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</si>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</sst>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6" t="s">
        <v>2</v>
      </c>
      <c r="B4" s="119" t="str">
        <f>[1]!b_info_issuerupdated(A2)</f>
        <v>珠海华发集团有限公司</v>
      </c>
      <c r="C4" s="120"/>
      <c r="D4" s="56" t="s">
        <v>3</v>
      </c>
      <c r="E4" s="119" t="str">
        <f>[1]!s_info_nature(A2)</f>
        <v>地方国有企业</v>
      </c>
      <c r="F4" s="120"/>
      <c r="G4" s="120"/>
      <c r="H4" s="19"/>
    </row>
    <row r="5" spans="1:20" s="17" customFormat="1" ht="14.25" customHeight="1" x14ac:dyDescent="0.25">
      <c r="A5" s="56" t="s">
        <v>4</v>
      </c>
      <c r="B5" s="119" t="str">
        <f>[1]!b_issuer_windindustry(A2,9)</f>
        <v>工业--资本货物--建筑与工程Ⅲ--建筑与工程</v>
      </c>
      <c r="C5" s="120"/>
      <c r="D5" s="56" t="s">
        <v>5</v>
      </c>
      <c r="E5" s="119" t="str">
        <f>[1]!b_issuer_regaddress(A2)</f>
        <v>广东省珠海市拱北联安路9号</v>
      </c>
      <c r="F5" s="120"/>
      <c r="G5" s="120"/>
    </row>
    <row r="6" spans="1:20" s="17" customFormat="1" ht="81" customHeight="1" x14ac:dyDescent="0.25">
      <c r="A6" s="56" t="s">
        <v>6</v>
      </c>
      <c r="B6" s="121" t="str">
        <f>[1]!s_info_briefing(A2)</f>
        <v>公司是珠海市国资委下属的国有独资公司，也是珠海市规模最大、经营能力最强的总部企业之一。公司目前不仅是珠海市重要的国有资产和城市基础设施运营主体，还肩负着横琴新区启动项目——珠海十字门中央商务区总体规划、土地一级开发和基础设施建设、重点项目建设及招商引资等重要工作。</v>
      </c>
      <c r="C6" s="120"/>
      <c r="D6" s="120"/>
      <c r="E6" s="120"/>
      <c r="F6" s="120"/>
      <c r="G6" s="120"/>
    </row>
    <row r="7" spans="1:20" s="17" customFormat="1" x14ac:dyDescent="0.25">
      <c r="A7" s="58" t="s">
        <v>7</v>
      </c>
      <c r="B7" s="122" t="str">
        <f>[1]!b_issuer_shareholder(A2,"",1)</f>
        <v>珠海市人民政府国有资产监督管理委员会</v>
      </c>
      <c r="C7" s="120"/>
      <c r="D7" s="120"/>
      <c r="E7" s="120"/>
      <c r="F7" s="60">
        <f>[1]!b_issuer_propofshareholder($A$2,"",1)%</f>
        <v>1</v>
      </c>
      <c r="G7" s="59"/>
      <c r="H7" s="20" t="s">
        <v>8</v>
      </c>
      <c r="M7" s="24">
        <v>42004</v>
      </c>
      <c r="N7" s="24">
        <v>42369</v>
      </c>
      <c r="O7" s="24">
        <v>41639</v>
      </c>
      <c r="P7" s="61" t="s">
        <v>9</v>
      </c>
      <c r="Q7" s="61" t="s">
        <v>10</v>
      </c>
      <c r="R7" s="61" t="s">
        <v>11</v>
      </c>
    </row>
    <row r="8" spans="1:20" s="17" customFormat="1" x14ac:dyDescent="0.25">
      <c r="A8" s="58"/>
      <c r="B8" s="122">
        <f>[1]!b_issuer_shareholder(A2,"",2)</f>
        <v>0</v>
      </c>
      <c r="C8" s="120"/>
      <c r="D8" s="120"/>
      <c r="E8" s="120"/>
      <c r="F8" s="60">
        <f>[1]!b_issuer_propofshareholder($A$2,"",2)%</f>
        <v>0</v>
      </c>
      <c r="G8" s="59"/>
      <c r="H8" s="20"/>
      <c r="M8" s="25"/>
      <c r="O8" s="25"/>
      <c r="P8" s="62"/>
    </row>
    <row r="9" spans="1:20" s="17" customFormat="1" x14ac:dyDescent="0.25">
      <c r="A9" s="58"/>
      <c r="B9" s="122">
        <f>[1]!b_issuer_shareholder(A2,"",3)</f>
        <v>0</v>
      </c>
      <c r="C9" s="120"/>
      <c r="D9" s="120"/>
      <c r="E9" s="120"/>
      <c r="F9" s="60">
        <f>[1]!b_issuer_propofshareholder($A$2,"",3)%</f>
        <v>0</v>
      </c>
      <c r="G9" s="59"/>
      <c r="H9" s="20"/>
      <c r="M9" s="25"/>
      <c r="O9" s="25"/>
      <c r="P9" s="62"/>
    </row>
    <row r="10" spans="1:20" s="17" customFormat="1" x14ac:dyDescent="0.25">
      <c r="A10" s="58"/>
      <c r="B10" s="122">
        <f>[1]!b_issuer_shareholder(A2,"",4)</f>
        <v>0</v>
      </c>
      <c r="C10" s="120"/>
      <c r="D10" s="120"/>
      <c r="E10" s="120"/>
      <c r="F10" s="60">
        <f>[1]!b_issuer_propofshareholder($A$2,"",4)%</f>
        <v>0</v>
      </c>
      <c r="G10" s="59"/>
      <c r="H10" s="20"/>
      <c r="M10" s="25"/>
      <c r="O10" s="25"/>
      <c r="P10" s="62"/>
    </row>
    <row r="11" spans="1:20" s="17" customFormat="1" x14ac:dyDescent="0.25">
      <c r="A11" s="58"/>
      <c r="B11" s="122">
        <f>[1]!b_issuer_shareholder(A2,"",5)</f>
        <v>0</v>
      </c>
      <c r="C11" s="120"/>
      <c r="D11" s="120"/>
      <c r="E11" s="120"/>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q19041711.IB</v>
      </c>
      <c r="K14" s="26"/>
      <c r="L14" s="27" t="str">
        <f>T15</f>
        <v>122025.SH</v>
      </c>
      <c r="M14" s="27" t="str">
        <f>T16</f>
        <v>112005.SZ</v>
      </c>
      <c r="N14" s="27" t="str">
        <f>T17</f>
        <v>101451021.IB</v>
      </c>
      <c r="O14" s="27" t="str">
        <f>T18</f>
        <v>101573001.IB</v>
      </c>
      <c r="P14" s="27" t="str">
        <f>T19</f>
        <v>1280151.IB</v>
      </c>
      <c r="Q14" s="27" t="str">
        <f>T20</f>
        <v>1480067.IB</v>
      </c>
      <c r="R14" s="5" t="str">
        <f>T21</f>
        <v>124221.SH</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珠海华发集团有限公司</v>
      </c>
      <c r="K15" s="138"/>
      <c r="L15" s="8" t="str">
        <f>[1]!b_info_issuer(L14)</f>
        <v>首创置业股份有限公司</v>
      </c>
      <c r="M15" s="8" t="str">
        <f>[1]!b_info_issuer(M14)</f>
        <v>万科企业股份有限公司</v>
      </c>
      <c r="N15" s="8" t="str">
        <f>[1]!b_info_issuer(N14)</f>
        <v>上海陆家嘴金融贸易区开发股份有限公司</v>
      </c>
      <c r="O15" s="8" t="str">
        <f>[1]!b_info_issuer(O14)</f>
        <v>招商局蛇口工业区控股股份有限公司</v>
      </c>
      <c r="P15" s="8" t="str">
        <f>[1]!b_info_issuer(P14)</f>
        <v>上海地产(集团)有限公司</v>
      </c>
      <c r="Q15" s="8" t="str">
        <f>[1]!b_info_issuer(Q14)</f>
        <v>北京首都开发控股(集团)有限公司</v>
      </c>
      <c r="R15" s="8" t="str">
        <f>[1]!b_info_issuer(R14)</f>
        <v>武汉地产开发投资集团有限公司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AAA</v>
      </c>
      <c r="K16" s="124"/>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4"/>
      <c r="L17" s="66" t="str">
        <f>[1]!s_info_nature(L14)</f>
        <v>地方国有企业</v>
      </c>
      <c r="M17" s="66" t="str">
        <f>[1]!s_info_nature(M14)</f>
        <v>公众企业</v>
      </c>
      <c r="N17" s="66" t="str">
        <f>[1]!s_info_nature(N14)</f>
        <v>地方国有企业</v>
      </c>
      <c r="O17" s="66" t="str">
        <f>[1]!s_info_nature(O14)</f>
        <v>中央国有企业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4"/>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2284.7941704362001</v>
      </c>
      <c r="K19" s="124"/>
      <c r="L19" s="67">
        <f>[1]!b_stm07_bs(L14,74,L13,1)/100000000</f>
        <v>1414.2116900000001</v>
      </c>
      <c r="M19" s="67">
        <f>[1]!b_stm07_bs(M14,74,M13,1)/100000000</f>
        <v>11653.469178045501</v>
      </c>
      <c r="N19" s="67">
        <f>[1]!b_stm07_bs(N14,74,N13,1)/100000000</f>
        <v>811.80120505899993</v>
      </c>
      <c r="O19" s="67">
        <f>[1]!b_stm07_bs(O14,74,O13,1)/100000000</f>
        <v>3326.2092121849</v>
      </c>
      <c r="P19" s="67">
        <f>[1]!b_stm07_bs(P14,74,P13,1)/100000000</f>
        <v>2781.4531708756999</v>
      </c>
      <c r="Q19" s="67">
        <f>[1]!b_stm07_bs(Q14,74,Q13,1)/100000000</f>
        <v>2668.1369517288999</v>
      </c>
      <c r="R19" s="67">
        <f>[1]!b_stm07_bs(R14,74,R13,1)/100000000</f>
        <v>1203.5259283821001</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0.72692499999999993</v>
      </c>
      <c r="K20" s="124"/>
      <c r="L20" s="10">
        <f>[1]!s_fa_debttoassets(L14,L13)/100</f>
        <v>0.77421000000000006</v>
      </c>
      <c r="M20" s="10">
        <f>[1]!s_fa_debttoassets(M14,M13)/100</f>
        <v>0.83981300000000003</v>
      </c>
      <c r="N20" s="10">
        <f>[1]!s_fa_debttoassets(N14,N13)/100</f>
        <v>0.75111800000000006</v>
      </c>
      <c r="O20" s="10">
        <f>[1]!s_fa_debttoassets(O14,O13)/100</f>
        <v>0.72105599999999992</v>
      </c>
      <c r="P20" s="10">
        <f>[1]!s_fa_debttoassets(P14,P13)/100</f>
        <v>0.68995400000000007</v>
      </c>
      <c r="Q20" s="10">
        <f>[1]!s_fa_debttoassets(Q14,Q13)/100</f>
        <v>0.79214399999999996</v>
      </c>
      <c r="R20" s="10">
        <f>[1]!s_fa_debttoassets(R14,R13)/100</f>
        <v>0.72121899999999994</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1.9594</v>
      </c>
      <c r="K21" s="124"/>
      <c r="L21" s="67">
        <f>[1]!s_fa_current(L14,L13)</f>
        <v>1.6932</v>
      </c>
      <c r="M21" s="67">
        <f>[1]!s_fa_current(M14,M13)</f>
        <v>1.2009000000000001</v>
      </c>
      <c r="N21" s="67">
        <f>[1]!s_fa_current(N14,N13)</f>
        <v>0.98050000000000004</v>
      </c>
      <c r="O21" s="67">
        <f>[1]!s_fa_current(O14,O13)</f>
        <v>1.7129000000000001</v>
      </c>
      <c r="P21" s="67">
        <f>[1]!s_fa_current(P14,P13)</f>
        <v>2.0672000000000001</v>
      </c>
      <c r="Q21" s="67">
        <f>[1]!s_fa_current(Q14,Q13)</f>
        <v>1.9416</v>
      </c>
      <c r="R21" s="67">
        <f>[1]!s_fa_current(R14,R13)</f>
        <v>2.9238</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1.5507649791431672</v>
      </c>
      <c r="K22" s="124"/>
      <c r="L22" s="65">
        <f>(公式页!L96+公式页!L97+公式页!L98+公式页!L99+公式页!L100+公式页!L101)/公式页!L103</f>
        <v>1.9028497629600183</v>
      </c>
      <c r="M22" s="65">
        <f t="shared" ref="M22:R22" si="0">(M96+M97+M98+M99+M100+M101)/M103</f>
        <v>1.0264933512076175</v>
      </c>
      <c r="N22" s="65">
        <f t="shared" si="0"/>
        <v>1.4238417872151186</v>
      </c>
      <c r="O22" s="65">
        <f t="shared" si="0"/>
        <v>1.079250347020126</v>
      </c>
      <c r="P22" s="65">
        <f t="shared" si="0"/>
        <v>0.70431455405331278</v>
      </c>
      <c r="Q22" s="65">
        <f t="shared" si="0"/>
        <v>2.008360640376543</v>
      </c>
      <c r="R22" s="65">
        <f t="shared" si="0"/>
        <v>1.8961701662135653</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4.07E-2</v>
      </c>
      <c r="K23" s="124"/>
      <c r="L23" s="67">
        <f>[1]!s_fa_ebitdatodebt(L14,L13)</f>
        <v>3.6499999999999998E-2</v>
      </c>
      <c r="M23" s="67">
        <f>[1]!s_fa_ebitdatodebt(M14,M13)</f>
        <v>5.5800000000000002E-2</v>
      </c>
      <c r="N23" s="67">
        <f>[1]!s_fa_ebitdatodebt(N14,N13)</f>
        <v>0.1036</v>
      </c>
      <c r="O23" s="67">
        <f>[1]!s_fa_ebitdatodebt(O14,O13)</f>
        <v>9.5500000000000002E-2</v>
      </c>
      <c r="P23" s="67">
        <f>[1]!s_fa_ebitdatodebt(P14,P13)</f>
        <v>6.7699999999999996E-2</v>
      </c>
      <c r="Q23" s="67">
        <f>[1]!s_fa_ebitdatodebt(Q14,Q13)</f>
        <v>3.8699999999999998E-2</v>
      </c>
      <c r="R23" s="67">
        <f>[1]!s_fa_ebitdatodebt(R14,R13)</f>
        <v>1.7299999999999999E-2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441.5523851758</v>
      </c>
      <c r="K24" s="124"/>
      <c r="L24" s="67">
        <f>[1]!b_stm07_is(L14,9,L13,1)/100000000</f>
        <v>212.9204</v>
      </c>
      <c r="M24" s="67">
        <f>[1]!b_stm07_is(M14,9,M13,1)/100000000</f>
        <v>2428.9711025051997</v>
      </c>
      <c r="N24" s="67">
        <f>[1]!b_stm07_is(N14,9,N13,1)/100000000</f>
        <v>93.245938084100004</v>
      </c>
      <c r="O24" s="67">
        <f>[1]!b_stm07_is(O14,9,O13,1)/100000000</f>
        <v>754.54682170009994</v>
      </c>
      <c r="P24" s="67">
        <f>[1]!b_stm07_is(P14,9,P13,1)/100000000</f>
        <v>398.36899314330003</v>
      </c>
      <c r="Q24" s="67">
        <f>[1]!b_stm07_is(Q14,9,Q13,1)/100000000</f>
        <v>386.69322523669996</v>
      </c>
      <c r="R24" s="67">
        <f>[1]!b_stm07_is(R14,9,R13,1)/100000000</f>
        <v>70.814810574700005</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1.1344000000000001</v>
      </c>
      <c r="K25" s="124"/>
      <c r="L25" s="11">
        <f>[1]!s_fa_salescashintoor(L14,L13)%</f>
        <v>1.0973999999999999</v>
      </c>
      <c r="M25" s="11">
        <f>[1]!s_fa_salescashintoor(M14,M13)%</f>
        <v>1.5166999999999999</v>
      </c>
      <c r="N25" s="11">
        <f>[1]!s_fa_salescashintoor(N14,N13)%</f>
        <v>0.54390000000000005</v>
      </c>
      <c r="O25" s="11">
        <f>[1]!s_fa_salescashintoor(O14,O13)%</f>
        <v>1.0744</v>
      </c>
      <c r="P25" s="11">
        <f>[1]!s_fa_salescashintoor(P14,P13)%</f>
        <v>0.98290000000000011</v>
      </c>
      <c r="Q25" s="11">
        <f>[1]!s_fa_salescashintoor(Q14,Q13)%</f>
        <v>1.3413999999999999</v>
      </c>
      <c r="R25" s="11">
        <f>[1]!s_fa_salescashintoor(R14,R13)%</f>
        <v>1.2143999999999999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0.22089900000000001</v>
      </c>
      <c r="K26" s="124"/>
      <c r="L26" s="11">
        <f>[1]!s_fa_grossprofitmargin(L14,L13)%</f>
        <v>0.28539399999999998</v>
      </c>
      <c r="M26" s="11">
        <f>[1]!s_fa_grossprofitmargin(M14,M13)%</f>
        <v>0.34095599999999998</v>
      </c>
      <c r="N26" s="11">
        <f>[1]!s_fa_grossprofitmargin(N14,N13)%</f>
        <v>0.49803500000000001</v>
      </c>
      <c r="O26" s="11">
        <f>[1]!s_fa_grossprofitmargin(O14,O13)%</f>
        <v>0.37658799999999998</v>
      </c>
      <c r="P26" s="11">
        <f>[1]!s_fa_grossprofitmargin(P14,P13)%</f>
        <v>0.30884600000000001</v>
      </c>
      <c r="Q26" s="11">
        <f>[1]!s_fa_grossprofitmargin(Q14,Q13)%</f>
        <v>0.33780500000000002</v>
      </c>
      <c r="R26" s="11">
        <f>[1]!s_fa_grossprofitmargin(R14,R13)%</f>
        <v>0.33023000000000002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34.580323993699999</v>
      </c>
      <c r="K27" s="124"/>
      <c r="L27" s="68">
        <f>[1]!b_stm07_is(L14,60,L13,1)/100000000</f>
        <v>27.967970000000001</v>
      </c>
      <c r="M27" s="68">
        <f>[1]!b_stm07_is(M14,60,M13,1)/100000000</f>
        <v>372.08387330070002</v>
      </c>
      <c r="N27" s="68">
        <f>[1]!b_stm07_is(N14,60,N13,1)/100000000</f>
        <v>36.754599237299999</v>
      </c>
      <c r="O27" s="68">
        <f>[1]!b_stm07_is(O14,60,O13,1)/100000000</f>
        <v>150.0936119781</v>
      </c>
      <c r="P27" s="68">
        <f>[1]!b_stm07_is(P14,60,P13,1)/100000000</f>
        <v>80.963795070499998</v>
      </c>
      <c r="Q27" s="68">
        <f>[1]!b_stm07_is(Q14,60,Q13,1)/100000000</f>
        <v>42.398366168599999</v>
      </c>
      <c r="R27" s="68">
        <f>[1]!b_stm07_is(R14,60,R13,1)/100000000</f>
        <v>8.6372634137999995</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5.0900000000000001E-2</v>
      </c>
      <c r="K28" s="124"/>
      <c r="L28" s="10">
        <f>[1]!s_fa_roe(L14,L13)%</f>
        <v>0.11234400000000001</v>
      </c>
      <c r="M28" s="10">
        <f>[1]!s_fa_roe(M14,M13)%</f>
        <v>0.22795200000000002</v>
      </c>
      <c r="N28" s="10">
        <f>[1]!s_fa_roe(N14,N13)%</f>
        <v>0.22375100000000001</v>
      </c>
      <c r="O28" s="10">
        <f>[1]!s_fa_roe(O14,O13)%</f>
        <v>0.19584099999999999</v>
      </c>
      <c r="P28" s="10">
        <f>[1]!s_fa_roe(P14,P13)%</f>
        <v>0.10878199999999999</v>
      </c>
      <c r="Q28" s="10">
        <f>[1]!s_fa_roe(Q14,Q13)%</f>
        <v>0.10141700000000001</v>
      </c>
      <c r="R28" s="10">
        <f>[1]!s_fa_roe(R14,R13)%</f>
        <v>1.6001000000000001E-2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104.48464667260001</v>
      </c>
      <c r="K29" s="124"/>
      <c r="L29" s="68">
        <f>[1]!b_stm07_cs(L14,39,L13,1)/100000000</f>
        <v>44.537889999999997</v>
      </c>
      <c r="M29" s="68">
        <f>[1]!b_stm07_cs(M14,39,M13,1)/100000000</f>
        <v>823.22834216499996</v>
      </c>
      <c r="N29" s="68">
        <f>[1]!b_stm07_cs(N14,39,N13,1)/100000000</f>
        <v>-53.581643983399999</v>
      </c>
      <c r="O29" s="68">
        <f>[1]!b_stm07_cs(O14,39,O13,1)/100000000</f>
        <v>-47.086861255699993</v>
      </c>
      <c r="P29" s="68">
        <f>[1]!b_stm07_cs(P14,39,P13,1)/100000000</f>
        <v>66.116701748200001</v>
      </c>
      <c r="Q29" s="68">
        <f>[1]!b_stm07_cs(Q14,39,Q13,1)/100000000</f>
        <v>-183.47661514979998</v>
      </c>
      <c r="R29" s="68">
        <f>[1]!b_stm07_cs(R14,39,R13,1)/100000000</f>
        <v>-34.230026694099998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14084435138.77</v>
      </c>
      <c r="K96" s="70"/>
      <c r="L96" s="70">
        <f>[1]!b_stm07_bs(L14,75,L13,1)</f>
        <v>1831743000</v>
      </c>
      <c r="M96" s="70">
        <f>[1]!b_stm07_bs(M14,75,M13,1)</f>
        <v>16108858651.309999</v>
      </c>
      <c r="N96" s="70">
        <f>[1]!b_stm07_bs(N14,75,N13,1)</f>
        <v>11275600000</v>
      </c>
      <c r="O96" s="70">
        <f>[1]!b_stm07_bs(O14,75,O13,1)</f>
        <v>16768080000</v>
      </c>
      <c r="P96" s="70">
        <f>[1]!b_stm07_bs(P14,75,P13,1)</f>
        <v>8007777398.8999996</v>
      </c>
      <c r="Q96" s="70">
        <f>[1]!b_stm07_bs(Q14,75,Q13,1)</f>
        <v>1013093000</v>
      </c>
      <c r="R96" s="70">
        <f>[1]!b_stm07_bs(R14,75,R13,1)</f>
        <v>375000000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832889459.75999999</v>
      </c>
      <c r="K97" s="70"/>
      <c r="L97" s="70">
        <f>[1]!b_stm07_bs(L14,82,L13,1)</f>
        <v>612032000</v>
      </c>
      <c r="M97" s="70">
        <f>[1]!b_stm07_bs(M14,82,M13,1)</f>
        <v>995144331.40999997</v>
      </c>
      <c r="N97" s="70">
        <f>[1]!b_stm07_bs(N14,82,N13,1)</f>
        <v>164833185.31</v>
      </c>
      <c r="O97" s="70">
        <f>[1]!b_stm07_bs(O14,82,O13,1)</f>
        <v>660618583.03999996</v>
      </c>
      <c r="P97" s="70">
        <f>[1]!b_stm07_bs(P14,82,P13,1)</f>
        <v>577456677.95000005</v>
      </c>
      <c r="Q97" s="70">
        <f>[1]!b_stm07_bs(Q14,82,Q13,1)</f>
        <v>536155790.07999998</v>
      </c>
      <c r="R97" s="70">
        <f>[1]!b_stm07_bs(R14,82,R13,1)</f>
        <v>2162569.44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12877117441.950001</v>
      </c>
      <c r="K98" s="70"/>
      <c r="L98" s="70">
        <f>[1]!b_stm07_bs(L14,88,L13,1)</f>
        <v>23793041000</v>
      </c>
      <c r="M98" s="70">
        <f>[1]!b_stm07_bs(M14,88,M13,1)</f>
        <v>46163837744.75</v>
      </c>
      <c r="N98" s="70">
        <f>[1]!b_stm07_bs(N14,88,N13,1)</f>
        <v>647000000</v>
      </c>
      <c r="O98" s="70">
        <f>[1]!b_stm07_bs(O14,88,O13,1)</f>
        <v>13612760580.48</v>
      </c>
      <c r="P98" s="70">
        <f>[1]!b_stm07_bs(P14,88,P13,1)</f>
        <v>10462895830.290001</v>
      </c>
      <c r="Q98" s="70">
        <f>[1]!b_stm07_bs(Q14,88,Q13,1)</f>
        <v>20927193548.970001</v>
      </c>
      <c r="R98" s="70">
        <f>[1]!b_stm07_bs(R14,88,R13,1)</f>
        <v>8772166000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44140100656.120003</v>
      </c>
      <c r="K100" s="70"/>
      <c r="L100" s="70">
        <f>[1]!b_stm07_bs(L14,94,L13,1)</f>
        <v>22072547000</v>
      </c>
      <c r="M100" s="70">
        <f>[1]!b_stm07_bs(M14,94,M13,1)</f>
        <v>96029044735.039993</v>
      </c>
      <c r="N100" s="70">
        <f>[1]!b_stm07_bs(N14,94,N13,1)</f>
        <v>11580291309.57</v>
      </c>
      <c r="O100" s="70">
        <f>[1]!b_stm07_bs(O14,94,O13,1)</f>
        <v>60696558839.720001</v>
      </c>
      <c r="P100" s="70">
        <f>[1]!b_stm07_bs(P14,94,P13,1)</f>
        <v>31748476853.830002</v>
      </c>
      <c r="Q100" s="70">
        <f>[1]!b_stm07_bs(Q14,94,Q13,1)</f>
        <v>58261433605.639999</v>
      </c>
      <c r="R100" s="70">
        <f>[1]!b_stm07_bs(R14,94,R13,1)</f>
        <v>27683180000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24820850868.07</v>
      </c>
      <c r="K101" s="70"/>
      <c r="L101" s="70">
        <f>[1]!b_stm07_bs(L14,95,L13,1)</f>
        <v>12451547000</v>
      </c>
      <c r="M101" s="70">
        <f>[1]!b_stm07_bs(M14,95,M13,1)</f>
        <v>32322671927.209999</v>
      </c>
      <c r="N101" s="70">
        <f>[1]!b_stm07_bs(N14,95,N13,1)</f>
        <v>5100000000</v>
      </c>
      <c r="O101" s="70">
        <f>[1]!b_stm07_bs(O14,95,O13,1)</f>
        <v>8397753667.0600004</v>
      </c>
      <c r="P101" s="70">
        <f>[1]!b_stm07_bs(P14,95,P13,1)</f>
        <v>9941959964.5400009</v>
      </c>
      <c r="Q101" s="70">
        <f>[1]!b_stm07_bs(Q14,95,Q13,1)</f>
        <v>30643395268.830002</v>
      </c>
      <c r="R101" s="70">
        <f>[1]!b_stm07_bs(R14,95,R13,1)</f>
        <v>26787752811.450001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62392041905.75</v>
      </c>
      <c r="K103" s="70"/>
      <c r="L103" s="70">
        <f>[1]!b_stm07_bs(L14,141,L13,1)</f>
        <v>31931533000</v>
      </c>
      <c r="M103" s="70">
        <f>[1]!b_stm07_bs(M14,141,M13,1)</f>
        <v>186673939158.29001</v>
      </c>
      <c r="N103" s="70">
        <f>[1]!b_stm07_bs(N14,141,N13,1)</f>
        <v>20204298506.470001</v>
      </c>
      <c r="O103" s="70">
        <f>[1]!b_stm07_bs(O14,141,O13,1)</f>
        <v>92782709726.970001</v>
      </c>
      <c r="P103" s="70">
        <f>[1]!b_stm07_bs(P14,141,P13,1)</f>
        <v>86237841282.649994</v>
      </c>
      <c r="Q103" s="70">
        <f>[1]!b_stm07_bs(Q14,141,Q13,1)</f>
        <v>55458800065.230003</v>
      </c>
      <c r="R103" s="70">
        <f>[1]!b_stm07_bs(R14,141,R13,1)</f>
        <v>33551978885.91</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q19041711.IB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3" t="s">
        <v>61</v>
      </c>
      <c r="B109" s="12">
        <f>M109/100</f>
        <v>0.72692499999999993</v>
      </c>
      <c r="C109" s="53" t="s">
        <v>36</v>
      </c>
      <c r="D109" s="71">
        <f>[1]!s_fa_current(A2,B2)</f>
        <v>1.9594</v>
      </c>
      <c r="E109" s="53" t="s">
        <v>41</v>
      </c>
      <c r="F109" s="72">
        <f>[1]!s_fa_salescashintoor(A2,B2)/100</f>
        <v>1.1344000000000001</v>
      </c>
      <c r="G109" s="53" t="s">
        <v>42</v>
      </c>
      <c r="H109" s="12">
        <f>S109/100</f>
        <v>0.22089900000000001</v>
      </c>
      <c r="I109" s="53"/>
      <c r="J109" s="16"/>
      <c r="K109" s="25"/>
      <c r="L109" s="34" t="s">
        <v>61</v>
      </c>
      <c r="M109" s="73">
        <f>[1]!s_fa_debttoassets(A2,B2)</f>
        <v>72.692499999999995</v>
      </c>
      <c r="N109" s="53" t="s">
        <v>36</v>
      </c>
      <c r="O109" s="35"/>
      <c r="P109" s="53" t="s">
        <v>41</v>
      </c>
      <c r="Q109" s="35"/>
      <c r="R109" s="53" t="s">
        <v>42</v>
      </c>
      <c r="S109" s="74">
        <f>[1]!s_fa_grossprofitmargin(A2,B2)</f>
        <v>22.0899</v>
      </c>
    </row>
    <row r="110" spans="1:19" ht="15.75" customHeight="1" x14ac:dyDescent="0.25">
      <c r="A110" s="53" t="s">
        <v>62</v>
      </c>
      <c r="B110" s="12">
        <f>M110/100</f>
        <v>0.81837000000000004</v>
      </c>
      <c r="C110" s="53" t="s">
        <v>63</v>
      </c>
      <c r="D110" s="72">
        <f>[1]!s_fa_quick(A2,B2)</f>
        <v>0.628</v>
      </c>
      <c r="E110" s="53" t="s">
        <v>64</v>
      </c>
      <c r="F110" s="71">
        <f>[1]!s_fa_arturn(A2,B2)</f>
        <v>33.345500000000001</v>
      </c>
      <c r="G110" s="53" t="s">
        <v>65</v>
      </c>
      <c r="H110" s="12">
        <f>S110/100</f>
        <v>0.112355</v>
      </c>
      <c r="I110" s="53"/>
      <c r="J110" s="16"/>
      <c r="L110" s="53" t="s">
        <v>62</v>
      </c>
      <c r="M110" s="73">
        <f>[1]!s_fa_catoassets(A2,B2)</f>
        <v>81.837000000000003</v>
      </c>
      <c r="N110" s="53" t="s">
        <v>63</v>
      </c>
      <c r="O110" s="35"/>
      <c r="P110" s="53" t="s">
        <v>64</v>
      </c>
      <c r="Q110" s="72"/>
      <c r="R110" s="53" t="s">
        <v>65</v>
      </c>
      <c r="S110" s="74">
        <f>[1]!s_fa_optogr(A2,B2)</f>
        <v>11.2355</v>
      </c>
    </row>
    <row r="111" spans="1:19" ht="15" customHeight="1" x14ac:dyDescent="0.25">
      <c r="A111" s="53" t="s">
        <v>66</v>
      </c>
      <c r="B111" s="12">
        <f>M111/100</f>
        <v>0.57457099999999994</v>
      </c>
      <c r="C111" s="53" t="s">
        <v>39</v>
      </c>
      <c r="D111" s="72">
        <f>[1]!s_fa_ebitdatodebt(A2,B2)</f>
        <v>4.07E-2</v>
      </c>
      <c r="E111" s="53" t="s">
        <v>67</v>
      </c>
      <c r="F111" s="71">
        <f>[1]!s_fa_invturn(A2,B2)</f>
        <v>0.29370000000000002</v>
      </c>
      <c r="G111" s="53" t="s">
        <v>45</v>
      </c>
      <c r="H111" s="12">
        <f>S111/100</f>
        <v>5.0900000000000001E-2</v>
      </c>
      <c r="I111" s="53"/>
      <c r="J111" s="16"/>
      <c r="L111" s="53" t="s">
        <v>66</v>
      </c>
      <c r="M111" s="73">
        <f>[1]!s_fa_currentdebttodebt(A2,B2)</f>
        <v>57.457099999999997</v>
      </c>
      <c r="N111" s="53" t="s">
        <v>39</v>
      </c>
      <c r="O111" s="35"/>
      <c r="P111" s="53" t="s">
        <v>67</v>
      </c>
      <c r="Q111" s="35"/>
      <c r="R111" s="53" t="s">
        <v>45</v>
      </c>
      <c r="S111" s="74">
        <f>[1]!s_fa_roe(A2,B2)</f>
        <v>5.09</v>
      </c>
    </row>
    <row r="112" spans="1:19" ht="14.25" customHeight="1" x14ac:dyDescent="0.25">
      <c r="A112" s="53" t="s">
        <v>38</v>
      </c>
      <c r="B112" s="75">
        <f>(M116+M117+M118+M119+M120+M121)/M123</f>
        <v>1.5507649791431672</v>
      </c>
      <c r="C112" s="53" t="s">
        <v>68</v>
      </c>
      <c r="D112" s="72">
        <f>[1]!s_fa_ebittointerest(A2,B2)</f>
        <v>4.5140000000000002</v>
      </c>
      <c r="E112" s="53" t="s">
        <v>69</v>
      </c>
      <c r="F112" s="71">
        <f>[1]!s_fa_caturn(A2,B2)</f>
        <v>0.25779999999999997</v>
      </c>
      <c r="G112" s="53" t="s">
        <v>70</v>
      </c>
      <c r="H112" s="12">
        <f>S112/100</f>
        <v>3.0564000000000001E-2</v>
      </c>
      <c r="I112" s="53"/>
      <c r="J112" s="16"/>
      <c r="L112" s="53" t="s">
        <v>38</v>
      </c>
      <c r="M112" s="76"/>
      <c r="N112" s="53" t="s">
        <v>68</v>
      </c>
      <c r="O112" s="35"/>
      <c r="P112" s="53" t="s">
        <v>69</v>
      </c>
      <c r="Q112" s="35"/>
      <c r="R112" s="53" t="s">
        <v>70</v>
      </c>
      <c r="S112" s="74">
        <f>[1]!s_fa_roa2(A2,B2)</f>
        <v>3.0564</v>
      </c>
    </row>
    <row r="113" spans="1:21" x14ac:dyDescent="0.25">
      <c r="A113" s="30"/>
      <c r="B113" s="31"/>
      <c r="C113" s="30"/>
      <c r="D113" s="32"/>
      <c r="E113" s="30" t="s">
        <v>71</v>
      </c>
      <c r="F113" s="77">
        <f>[1]!s_fa_dupont_faturnover(A2,B2)</f>
        <v>0.21149999999999999</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0">
        <f>[1]!b_stm07_bs(K107,75,L107,1)</f>
        <v>14084435138.77</v>
      </c>
    </row>
    <row r="117" spans="1:21" ht="14.25" customHeight="1" x14ac:dyDescent="0.25">
      <c r="A117" s="53" t="s">
        <v>77</v>
      </c>
      <c r="B117" s="72">
        <f t="shared" ref="B117:B131" si="1">M127/100000000</f>
        <v>215.90573159819999</v>
      </c>
      <c r="C117" s="53" t="s">
        <v>78</v>
      </c>
      <c r="D117" s="75">
        <f t="shared" ref="D117:D125" si="2">O127/100000000</f>
        <v>441.5523851758</v>
      </c>
      <c r="E117" s="131" t="s">
        <v>79</v>
      </c>
      <c r="F117" s="124"/>
      <c r="G117" s="124"/>
      <c r="H117" s="132">
        <f t="shared" ref="H117:H131" si="3">S127/100000000</f>
        <v>500.88775041150001</v>
      </c>
      <c r="I117" s="124"/>
      <c r="J117" s="124"/>
      <c r="L117" s="17" t="s">
        <v>48</v>
      </c>
      <c r="M117" s="70">
        <f>[1]!b_stm07_bs(K107,82,L107,1)</f>
        <v>832889459.75999999</v>
      </c>
    </row>
    <row r="118" spans="1:21" ht="14.25" customHeight="1" x14ac:dyDescent="0.25">
      <c r="A118" s="53" t="s">
        <v>80</v>
      </c>
      <c r="B118" s="72">
        <f t="shared" si="1"/>
        <v>19.3487775386</v>
      </c>
      <c r="C118" s="53" t="s">
        <v>81</v>
      </c>
      <c r="D118" s="75">
        <f t="shared" si="2"/>
        <v>404.20416198539999</v>
      </c>
      <c r="E118" s="131" t="s">
        <v>82</v>
      </c>
      <c r="F118" s="124"/>
      <c r="G118" s="124"/>
      <c r="H118" s="132">
        <f t="shared" si="3"/>
        <v>37.170391673200001</v>
      </c>
      <c r="I118" s="124"/>
      <c r="J118" s="124"/>
      <c r="L118" s="17" t="s">
        <v>49</v>
      </c>
      <c r="M118" s="70">
        <f>[1]!b_stm07_bs(K107,88,L107,1)</f>
        <v>12877117441.950001</v>
      </c>
    </row>
    <row r="119" spans="1:21" ht="14.25" customHeight="1" x14ac:dyDescent="0.25">
      <c r="A119" s="53" t="s">
        <v>83</v>
      </c>
      <c r="B119" s="72">
        <f t="shared" si="1"/>
        <v>17.596050791300001</v>
      </c>
      <c r="C119" s="53" t="s">
        <v>84</v>
      </c>
      <c r="D119" s="75">
        <f t="shared" si="2"/>
        <v>344.01374658399999</v>
      </c>
      <c r="E119" s="131" t="s">
        <v>85</v>
      </c>
      <c r="F119" s="124"/>
      <c r="G119" s="124"/>
      <c r="H119" s="133">
        <f t="shared" si="3"/>
        <v>580.40828957050007</v>
      </c>
      <c r="I119" s="124"/>
      <c r="J119" s="124"/>
      <c r="L119" s="17" t="s">
        <v>50</v>
      </c>
      <c r="M119" s="70">
        <f>[1]!b_stm07_bs(K107,147,L107,1)</f>
        <v>0</v>
      </c>
    </row>
    <row r="120" spans="1:21" ht="14.25" customHeight="1" x14ac:dyDescent="0.25">
      <c r="A120" s="53" t="s">
        <v>86</v>
      </c>
      <c r="B120" s="72">
        <f t="shared" si="1"/>
        <v>84.234092376099994</v>
      </c>
      <c r="C120" s="53" t="s">
        <v>87</v>
      </c>
      <c r="D120" s="75">
        <f t="shared" si="2"/>
        <v>5.3890958449999999</v>
      </c>
      <c r="E120" s="131" t="s">
        <v>88</v>
      </c>
      <c r="F120" s="124"/>
      <c r="G120" s="124"/>
      <c r="H120" s="132">
        <f t="shared" si="3"/>
        <v>318.04030097750001</v>
      </c>
      <c r="I120" s="124"/>
      <c r="J120" s="124"/>
      <c r="L120" s="17" t="s">
        <v>51</v>
      </c>
      <c r="M120" s="70">
        <f>[1]!b_stm07_bs(K107,94,L107,1)</f>
        <v>44140100656.120003</v>
      </c>
    </row>
    <row r="121" spans="1:21" ht="14.25" customHeight="1" x14ac:dyDescent="0.25">
      <c r="A121" s="53" t="s">
        <v>89</v>
      </c>
      <c r="B121" s="72">
        <f t="shared" si="1"/>
        <v>3.3021727005000003</v>
      </c>
      <c r="C121" s="53" t="s">
        <v>90</v>
      </c>
      <c r="D121" s="75">
        <f t="shared" si="2"/>
        <v>19.2485340293</v>
      </c>
      <c r="E121" s="131" t="s">
        <v>91</v>
      </c>
      <c r="F121" s="124"/>
      <c r="G121" s="124"/>
      <c r="H121" s="132">
        <f t="shared" si="3"/>
        <v>80.602155979000003</v>
      </c>
      <c r="I121" s="124"/>
      <c r="J121" s="124"/>
      <c r="L121" s="17" t="s">
        <v>52</v>
      </c>
      <c r="M121" s="70">
        <f>[1]!b_stm07_bs(K107,95,L107,1)</f>
        <v>24820850868.07</v>
      </c>
    </row>
    <row r="122" spans="1:21" ht="14.25" customHeight="1" x14ac:dyDescent="0.25">
      <c r="A122" s="53" t="s">
        <v>92</v>
      </c>
      <c r="B122" s="72">
        <f t="shared" si="1"/>
        <v>21.488750416199998</v>
      </c>
      <c r="C122" s="53" t="s">
        <v>93</v>
      </c>
      <c r="D122" s="75">
        <f t="shared" si="2"/>
        <v>15.377732326199999</v>
      </c>
      <c r="E122" s="131" t="s">
        <v>94</v>
      </c>
      <c r="F122" s="124"/>
      <c r="G122" s="124"/>
      <c r="H122" s="133">
        <f t="shared" si="3"/>
        <v>475.92364289779999</v>
      </c>
      <c r="I122" s="124"/>
      <c r="J122" s="124"/>
      <c r="L122" s="17"/>
      <c r="M122" s="17"/>
    </row>
    <row r="123" spans="1:21" ht="14.25" customHeight="1" x14ac:dyDescent="0.25">
      <c r="A123" s="53" t="s">
        <v>95</v>
      </c>
      <c r="B123" s="78">
        <f t="shared" si="1"/>
        <v>2284.7941704362001</v>
      </c>
      <c r="C123" s="53" t="s">
        <v>96</v>
      </c>
      <c r="D123" s="75">
        <f t="shared" si="2"/>
        <v>49.610526823299999</v>
      </c>
      <c r="E123" s="131" t="s">
        <v>97</v>
      </c>
      <c r="F123" s="124"/>
      <c r="G123" s="124"/>
      <c r="H123" s="133">
        <f t="shared" si="3"/>
        <v>104.48464667260001</v>
      </c>
      <c r="I123" s="124"/>
      <c r="J123" s="124"/>
      <c r="L123" s="17" t="s">
        <v>53</v>
      </c>
      <c r="M123" s="70">
        <f>[1]!b_stm07_bs(K107,141,L107,1)</f>
        <v>62392041905.75</v>
      </c>
    </row>
    <row r="124" spans="1:21" ht="14.25" customHeight="1" x14ac:dyDescent="0.25">
      <c r="A124" s="53" t="s">
        <v>98</v>
      </c>
      <c r="B124" s="72">
        <f t="shared" si="1"/>
        <v>140.84435138770002</v>
      </c>
      <c r="C124" s="53" t="s">
        <v>99</v>
      </c>
      <c r="D124" s="75">
        <f t="shared" si="2"/>
        <v>49.685158664700005</v>
      </c>
      <c r="E124" s="131" t="s">
        <v>100</v>
      </c>
      <c r="F124" s="124"/>
      <c r="G124" s="124"/>
      <c r="H124" s="133">
        <f t="shared" si="3"/>
        <v>-347.03403085500003</v>
      </c>
      <c r="I124" s="124"/>
      <c r="J124" s="124"/>
      <c r="L124" s="17"/>
      <c r="M124" s="17"/>
    </row>
    <row r="125" spans="1:21" ht="27" customHeight="1" x14ac:dyDescent="0.25">
      <c r="A125" s="53" t="s">
        <v>101</v>
      </c>
      <c r="B125" s="72">
        <f t="shared" si="1"/>
        <v>128.7711744195</v>
      </c>
      <c r="C125" s="53" t="s">
        <v>43</v>
      </c>
      <c r="D125" s="75">
        <f t="shared" si="2"/>
        <v>34.580323993699999</v>
      </c>
      <c r="E125" s="131" t="s">
        <v>102</v>
      </c>
      <c r="F125" s="124"/>
      <c r="G125" s="124"/>
      <c r="H125" s="132">
        <f t="shared" si="3"/>
        <v>142.91490270049999</v>
      </c>
      <c r="I125" s="124"/>
      <c r="J125" s="124"/>
      <c r="L125" s="17"/>
      <c r="M125" s="17"/>
    </row>
    <row r="126" spans="1:21" ht="16.5" customHeight="1" x14ac:dyDescent="0.25">
      <c r="A126" s="53" t="s">
        <v>103</v>
      </c>
      <c r="B126" s="72">
        <f t="shared" si="1"/>
        <v>0</v>
      </c>
      <c r="C126" s="53"/>
      <c r="D126" s="79"/>
      <c r="E126" s="131" t="s">
        <v>104</v>
      </c>
      <c r="F126" s="124"/>
      <c r="G126" s="124"/>
      <c r="H126" s="132">
        <f t="shared" si="3"/>
        <v>625.61524232980003</v>
      </c>
      <c r="I126" s="124"/>
      <c r="J126" s="124"/>
      <c r="L126" s="134" t="s">
        <v>74</v>
      </c>
      <c r="M126" s="124"/>
      <c r="N126" s="134" t="s">
        <v>75</v>
      </c>
      <c r="O126" s="124"/>
      <c r="P126" s="125" t="s">
        <v>76</v>
      </c>
      <c r="Q126" s="124"/>
      <c r="R126" s="124"/>
      <c r="S126" s="135"/>
      <c r="T126" s="135"/>
      <c r="U126" s="135"/>
    </row>
    <row r="127" spans="1:21" ht="14.25" customHeight="1" x14ac:dyDescent="0.25">
      <c r="A127" s="53" t="s">
        <v>105</v>
      </c>
      <c r="B127" s="72">
        <f t="shared" si="1"/>
        <v>441.40100656120001</v>
      </c>
      <c r="C127" s="53"/>
      <c r="D127" s="79"/>
      <c r="E127" s="131" t="s">
        <v>106</v>
      </c>
      <c r="F127" s="124"/>
      <c r="G127" s="124"/>
      <c r="H127" s="132">
        <f t="shared" si="3"/>
        <v>180.85154775580003</v>
      </c>
      <c r="I127" s="124"/>
      <c r="J127" s="124"/>
      <c r="L127" s="53" t="s">
        <v>77</v>
      </c>
      <c r="M127" s="74">
        <f>[1]!b_stm07_bs(K107,9,L107,1)</f>
        <v>21590573159.82</v>
      </c>
      <c r="N127" s="53" t="s">
        <v>78</v>
      </c>
      <c r="O127" s="74">
        <f>[1]!b_stm07_is(K107,83,L107,1)</f>
        <v>44155238517.580002</v>
      </c>
      <c r="P127" s="131" t="s">
        <v>79</v>
      </c>
      <c r="Q127" s="124"/>
      <c r="R127" s="124"/>
      <c r="S127" s="136">
        <f>[1]!b_stm07_cs(K107,9,L107,1)</f>
        <v>50088775041.150002</v>
      </c>
      <c r="T127" s="135"/>
      <c r="U127" s="135"/>
    </row>
    <row r="128" spans="1:21" ht="14.25" customHeight="1" x14ac:dyDescent="0.25">
      <c r="A128" s="53" t="s">
        <v>107</v>
      </c>
      <c r="B128" s="72">
        <f t="shared" si="1"/>
        <v>248.20850868069999</v>
      </c>
      <c r="C128" s="53"/>
      <c r="D128" s="79"/>
      <c r="E128" s="131" t="s">
        <v>108</v>
      </c>
      <c r="F128" s="124"/>
      <c r="G128" s="124"/>
      <c r="H128" s="133">
        <f t="shared" si="3"/>
        <v>951.05846340610003</v>
      </c>
      <c r="I128" s="124"/>
      <c r="J128" s="124"/>
      <c r="L128" s="53" t="s">
        <v>80</v>
      </c>
      <c r="M128" s="74">
        <f>[1]!b_stm07_bs(K107,12,L107,1)</f>
        <v>1934877753.8599999</v>
      </c>
      <c r="N128" s="53" t="s">
        <v>81</v>
      </c>
      <c r="O128" s="74">
        <f>[1]!b_stm07_is(K107,84,L107,1)</f>
        <v>40420416198.540001</v>
      </c>
      <c r="P128" s="131" t="s">
        <v>82</v>
      </c>
      <c r="Q128" s="124"/>
      <c r="R128" s="124"/>
      <c r="S128" s="136">
        <f>[1]!b_stm07_cs(K107,11,L107,1)</f>
        <v>3717039167.3200002</v>
      </c>
      <c r="T128" s="135"/>
      <c r="U128" s="135"/>
    </row>
    <row r="129" spans="1:21" ht="14.25" customHeight="1" x14ac:dyDescent="0.25">
      <c r="A129" s="53" t="s">
        <v>109</v>
      </c>
      <c r="B129" s="78">
        <f t="shared" si="1"/>
        <v>1660.8737513787</v>
      </c>
      <c r="C129" s="14"/>
      <c r="D129" s="13"/>
      <c r="E129" s="131" t="s">
        <v>110</v>
      </c>
      <c r="F129" s="124"/>
      <c r="G129" s="124"/>
      <c r="H129" s="132">
        <f t="shared" si="3"/>
        <v>620.73851494339999</v>
      </c>
      <c r="I129" s="124"/>
      <c r="J129" s="124"/>
      <c r="L129" s="53" t="s">
        <v>83</v>
      </c>
      <c r="M129" s="74">
        <f>[1]!b_stm07_bs(K107,13,L107,1)</f>
        <v>1759605079.1300001</v>
      </c>
      <c r="N129" s="53" t="s">
        <v>84</v>
      </c>
      <c r="O129" s="74">
        <f>[1]!b_stm07_is(K107,10,L107,1)</f>
        <v>34401374658.400002</v>
      </c>
      <c r="P129" s="131" t="s">
        <v>85</v>
      </c>
      <c r="Q129" s="124"/>
      <c r="R129" s="124"/>
      <c r="S129" s="137">
        <f>[1]!b_stm07_cs(K107,25,L107,1)</f>
        <v>58040828957.050003</v>
      </c>
      <c r="T129" s="135"/>
      <c r="U129" s="135"/>
    </row>
    <row r="130" spans="1:21" ht="14.25" customHeight="1" x14ac:dyDescent="0.25">
      <c r="A130" s="53" t="s">
        <v>111</v>
      </c>
      <c r="B130" s="78">
        <f t="shared" si="1"/>
        <v>623.9204190575</v>
      </c>
      <c r="C130" s="14"/>
      <c r="D130" s="13"/>
      <c r="E130" s="131" t="s">
        <v>112</v>
      </c>
      <c r="F130" s="124"/>
      <c r="G130" s="124"/>
      <c r="H130" s="132">
        <f t="shared" si="3"/>
        <v>703.39005688999998</v>
      </c>
      <c r="I130" s="124"/>
      <c r="J130" s="124"/>
      <c r="L130" s="53" t="s">
        <v>86</v>
      </c>
      <c r="M130" s="74">
        <f>[1]!b_stm07_bs(K107,31,L107,1)</f>
        <v>8423409237.6099997</v>
      </c>
      <c r="N130" s="53" t="s">
        <v>87</v>
      </c>
      <c r="O130" s="74">
        <f>[1]!b_stm07_is(K107,12,L107,1)</f>
        <v>538909584.5</v>
      </c>
      <c r="P130" s="131" t="s">
        <v>88</v>
      </c>
      <c r="Q130" s="124"/>
      <c r="R130" s="124"/>
      <c r="S130" s="136">
        <f>[1]!b_stm07_cs(K107,26,L107,1)</f>
        <v>31804030097.75</v>
      </c>
      <c r="T130" s="135"/>
      <c r="U130" s="135"/>
    </row>
    <row r="131" spans="1:21" ht="14.25" customHeight="1" x14ac:dyDescent="0.25">
      <c r="A131" s="15" t="s">
        <v>113</v>
      </c>
      <c r="B131" s="78">
        <f t="shared" si="1"/>
        <v>2284.7941704362001</v>
      </c>
      <c r="C131" s="14"/>
      <c r="D131" s="13"/>
      <c r="E131" s="131" t="s">
        <v>114</v>
      </c>
      <c r="F131" s="124"/>
      <c r="G131" s="124"/>
      <c r="H131" s="133">
        <f t="shared" si="3"/>
        <v>247.66840651609999</v>
      </c>
      <c r="I131" s="124"/>
      <c r="J131" s="124"/>
      <c r="L131" s="53" t="s">
        <v>89</v>
      </c>
      <c r="M131" s="74">
        <f>[1]!b_stm07_bs(K107,33,L107,1)</f>
        <v>330217270.05000001</v>
      </c>
      <c r="N131" s="53" t="s">
        <v>90</v>
      </c>
      <c r="O131" s="74">
        <f>[1]!b_stm07_is(K107,13,L107,1)</f>
        <v>1924853402.9300001</v>
      </c>
      <c r="P131" s="131" t="s">
        <v>91</v>
      </c>
      <c r="Q131" s="124"/>
      <c r="R131" s="124"/>
      <c r="S131" s="136">
        <f>[1]!b_stm07_cs(K107,29,L107,1)</f>
        <v>8060215597.8999996</v>
      </c>
      <c r="T131" s="135"/>
      <c r="U131" s="135"/>
    </row>
    <row r="132" spans="1:21" x14ac:dyDescent="0.25">
      <c r="L132" s="53" t="s">
        <v>92</v>
      </c>
      <c r="M132" s="74">
        <f>[1]!b_stm07_bs(K107,37,L107,1)</f>
        <v>2148875041.6199999</v>
      </c>
      <c r="N132" s="53" t="s">
        <v>93</v>
      </c>
      <c r="O132" s="74">
        <f>[1]!b_stm07_is(K107,14,L107,1)</f>
        <v>1537773232.6199999</v>
      </c>
      <c r="P132" s="131" t="s">
        <v>94</v>
      </c>
      <c r="Q132" s="124"/>
      <c r="R132" s="124"/>
      <c r="S132" s="137">
        <f>[1]!b_stm07_cs(K107,37,L107,1)</f>
        <v>47592364289.779999</v>
      </c>
      <c r="T132" s="135"/>
      <c r="U132" s="135"/>
    </row>
    <row r="133" spans="1:21" x14ac:dyDescent="0.25">
      <c r="L133" s="53" t="s">
        <v>95</v>
      </c>
      <c r="M133" s="80">
        <f>[1]!b_stm07_bs(K107,74,L107,1)</f>
        <v>228479417043.62</v>
      </c>
      <c r="N133" s="53" t="s">
        <v>96</v>
      </c>
      <c r="O133" s="74">
        <f>[1]!b_stm07_is(K107,48,L107,1)</f>
        <v>4961052682.3299999</v>
      </c>
      <c r="P133" s="131" t="s">
        <v>97</v>
      </c>
      <c r="Q133" s="124"/>
      <c r="R133" s="124"/>
      <c r="S133" s="137">
        <f>[1]!b_stm07_cs(K107,39,L107,1)</f>
        <v>10448464667.26</v>
      </c>
      <c r="T133" s="135"/>
      <c r="U133" s="135"/>
    </row>
    <row r="134" spans="1:21" x14ac:dyDescent="0.25">
      <c r="L134" s="53" t="s">
        <v>98</v>
      </c>
      <c r="M134" s="74">
        <f>[1]!b_stm07_bs(K107,75,L107,1)</f>
        <v>14084435138.77</v>
      </c>
      <c r="N134" s="53" t="s">
        <v>99</v>
      </c>
      <c r="O134" s="74">
        <f>[1]!b_stm07_is(K107,55,L107,1)</f>
        <v>4968515866.4700003</v>
      </c>
      <c r="P134" s="131" t="s">
        <v>100</v>
      </c>
      <c r="Q134" s="124"/>
      <c r="R134" s="124"/>
      <c r="S134" s="137">
        <f>[1]!b_stm07_cs(K107,59,L107,1)</f>
        <v>-34703403085.5</v>
      </c>
      <c r="T134" s="135"/>
      <c r="U134" s="135"/>
    </row>
    <row r="135" spans="1:21" ht="32.4" customHeight="1" x14ac:dyDescent="0.25">
      <c r="L135" s="53" t="s">
        <v>101</v>
      </c>
      <c r="M135" s="74">
        <f>[1]!b_stm07_bs(K107,88,L107,1)</f>
        <v>12877117441.950001</v>
      </c>
      <c r="N135" s="53" t="s">
        <v>43</v>
      </c>
      <c r="O135" s="74">
        <f>[1]!b_stm07_is(K107,60,L107,1)</f>
        <v>3458032399.3699999</v>
      </c>
      <c r="P135" s="131" t="s">
        <v>102</v>
      </c>
      <c r="Q135" s="124"/>
      <c r="R135" s="124"/>
      <c r="S135" s="136">
        <f>[1]!b_stm07_cs(K107,60,L107,1)</f>
        <v>14291490270.049999</v>
      </c>
      <c r="T135" s="135"/>
      <c r="U135" s="135"/>
    </row>
    <row r="136" spans="1:21" ht="21.6" customHeight="1" x14ac:dyDescent="0.25">
      <c r="L136" s="53" t="s">
        <v>103</v>
      </c>
      <c r="M136" s="74">
        <f>[1]!b_stm07_bs(K107,147,L107,1)</f>
        <v>0</v>
      </c>
      <c r="N136" s="53"/>
      <c r="O136" s="79"/>
      <c r="P136" s="131" t="s">
        <v>104</v>
      </c>
      <c r="Q136" s="124"/>
      <c r="R136" s="124"/>
      <c r="S136" s="136">
        <f>[1]!b_stm07_cs(K107,61,L107,1)</f>
        <v>62561524232.980003</v>
      </c>
      <c r="T136" s="135"/>
      <c r="U136" s="135"/>
    </row>
    <row r="137" spans="1:21" x14ac:dyDescent="0.25">
      <c r="L137" s="53" t="s">
        <v>105</v>
      </c>
      <c r="M137" s="74">
        <f>[1]!b_stm07_bs(K107,94,L107,1)</f>
        <v>44140100656.120003</v>
      </c>
      <c r="N137" s="53"/>
      <c r="O137" s="79"/>
      <c r="P137" s="131" t="s">
        <v>106</v>
      </c>
      <c r="Q137" s="124"/>
      <c r="R137" s="124"/>
      <c r="S137" s="136">
        <f>[1]!b_stm07_cs(K107,63,L107,1)</f>
        <v>18085154775.580002</v>
      </c>
      <c r="T137" s="135"/>
      <c r="U137" s="135"/>
    </row>
    <row r="138" spans="1:21" x14ac:dyDescent="0.25">
      <c r="L138" s="53" t="s">
        <v>107</v>
      </c>
      <c r="M138" s="74">
        <f>[1]!b_stm07_bs(K107,95,L107,1)</f>
        <v>24820850868.07</v>
      </c>
      <c r="N138" s="53"/>
      <c r="O138" s="79"/>
      <c r="P138" s="131" t="s">
        <v>108</v>
      </c>
      <c r="Q138" s="124"/>
      <c r="R138" s="124"/>
      <c r="S138" s="137">
        <f>[1]!b_stm07_cs(K107,68,L107,1)</f>
        <v>95105846340.610001</v>
      </c>
      <c r="T138" s="135"/>
      <c r="U138" s="135"/>
    </row>
    <row r="139" spans="1:21" x14ac:dyDescent="0.25">
      <c r="L139" s="53" t="s">
        <v>109</v>
      </c>
      <c r="M139" s="80">
        <f>[1]!b_stm07_bs(K107,128,L107,1)</f>
        <v>166087375137.87</v>
      </c>
      <c r="N139" s="14"/>
      <c r="O139" s="13"/>
      <c r="P139" s="131" t="s">
        <v>110</v>
      </c>
      <c r="Q139" s="124"/>
      <c r="R139" s="124"/>
      <c r="S139" s="136">
        <f>[1]!b_stm07_cs(K107,69,L107,1)</f>
        <v>62073851494.339996</v>
      </c>
      <c r="T139" s="135"/>
      <c r="U139" s="135"/>
    </row>
    <row r="140" spans="1:21" ht="21.6" customHeight="1" x14ac:dyDescent="0.25">
      <c r="L140" s="53" t="s">
        <v>111</v>
      </c>
      <c r="M140" s="80">
        <f>[1]!b_stm07_bs(K107,141,L107,1)</f>
        <v>62392041905.75</v>
      </c>
      <c r="N140" s="14"/>
      <c r="O140" s="13"/>
      <c r="P140" s="131" t="s">
        <v>112</v>
      </c>
      <c r="Q140" s="124"/>
      <c r="R140" s="124"/>
      <c r="S140" s="136">
        <f>[1]!b_stm07_cs(K107,75,L107,1)</f>
        <v>70339005689</v>
      </c>
      <c r="T140" s="135"/>
      <c r="U140" s="135"/>
    </row>
    <row r="141" spans="1:21" ht="21.6" customHeight="1" x14ac:dyDescent="0.25">
      <c r="L141" s="15" t="s">
        <v>113</v>
      </c>
      <c r="M141" s="80">
        <f>[1]!b_stm07_bs(K107,145,L107,1)</f>
        <v>228479417043.62</v>
      </c>
      <c r="N141" s="14"/>
      <c r="O141" s="13"/>
      <c r="P141" s="131" t="s">
        <v>114</v>
      </c>
      <c r="Q141" s="124"/>
      <c r="R141" s="124"/>
      <c r="S141" s="137">
        <f>[1]!b_stm07_cs(K107,77,L107,1)</f>
        <v>24766840651.610001</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6" t="s">
        <v>2</v>
      </c>
      <c r="B2" s="119" t="s">
        <v>327</v>
      </c>
      <c r="C2" s="120"/>
      <c r="D2" s="56" t="s">
        <v>3</v>
      </c>
      <c r="E2" s="119" t="s">
        <v>328</v>
      </c>
      <c r="F2" s="120"/>
      <c r="G2" s="120"/>
    </row>
    <row r="3" spans="1:12" ht="14.25" customHeight="1" x14ac:dyDescent="0.25">
      <c r="A3" s="56" t="s">
        <v>4</v>
      </c>
      <c r="B3" s="119" t="s">
        <v>329</v>
      </c>
      <c r="C3" s="120"/>
      <c r="D3" s="56" t="s">
        <v>5</v>
      </c>
      <c r="E3" s="119" t="s">
        <v>330</v>
      </c>
      <c r="F3" s="120"/>
      <c r="G3" s="120"/>
    </row>
    <row r="4" spans="1:12" ht="113.25" customHeight="1" x14ac:dyDescent="0.25">
      <c r="A4" s="56" t="s">
        <v>6</v>
      </c>
      <c r="B4" s="121" t="s">
        <v>331</v>
      </c>
      <c r="C4" s="120"/>
      <c r="D4" s="120"/>
      <c r="E4" s="120"/>
      <c r="F4" s="120"/>
      <c r="G4" s="120"/>
    </row>
    <row r="5" spans="1:12" ht="14.4" x14ac:dyDescent="0.25">
      <c r="A5" s="81" t="s">
        <v>115</v>
      </c>
      <c r="B5" s="140" t="s">
        <v>332</v>
      </c>
      <c r="C5" s="120"/>
      <c r="D5" s="120"/>
      <c r="E5" s="120"/>
      <c r="F5" s="141">
        <v>1</v>
      </c>
      <c r="G5" s="120"/>
    </row>
    <row r="6" spans="1:12" ht="11.25" customHeight="1" x14ac:dyDescent="0.25">
      <c r="A6" s="81" t="s">
        <v>116</v>
      </c>
      <c r="B6" s="140" t="s">
        <v>333</v>
      </c>
      <c r="C6" s="120"/>
      <c r="D6" s="120"/>
      <c r="E6" s="120"/>
      <c r="F6" s="141" t="s">
        <v>333</v>
      </c>
      <c r="G6" s="120"/>
    </row>
    <row r="7" spans="1:12" ht="11.25" customHeight="1" x14ac:dyDescent="0.25">
      <c r="A7" s="81" t="s">
        <v>117</v>
      </c>
      <c r="B7" s="140" t="s">
        <v>333</v>
      </c>
      <c r="C7" s="120"/>
      <c r="D7" s="120"/>
      <c r="E7" s="120"/>
      <c r="F7" s="141" t="s">
        <v>333</v>
      </c>
      <c r="G7" s="120"/>
    </row>
    <row r="8" spans="1:12" ht="11.25" customHeight="1" x14ac:dyDescent="0.25">
      <c r="A8" s="81" t="s">
        <v>118</v>
      </c>
      <c r="B8" s="140" t="s">
        <v>333</v>
      </c>
      <c r="C8" s="120"/>
      <c r="D8" s="120"/>
      <c r="E8" s="120"/>
      <c r="F8" s="141" t="s">
        <v>333</v>
      </c>
      <c r="G8" s="120"/>
    </row>
    <row r="9" spans="1:12" ht="11.25" customHeight="1" x14ac:dyDescent="0.25">
      <c r="A9" s="81" t="s">
        <v>119</v>
      </c>
      <c r="B9" s="140" t="s">
        <v>333</v>
      </c>
      <c r="C9" s="120"/>
      <c r="D9" s="120"/>
      <c r="E9" s="120"/>
      <c r="F9" s="141" t="s">
        <v>333</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3.15</v>
      </c>
      <c r="E13" s="63">
        <v>0.69863013698630139</v>
      </c>
      <c r="F13" s="64">
        <v>0</v>
      </c>
      <c r="G13" s="63">
        <v>10</v>
      </c>
    </row>
    <row r="14" spans="1:12" ht="14.4" customHeight="1" x14ac:dyDescent="0.25">
      <c r="A14" t="s">
        <v>124</v>
      </c>
      <c r="B14" t="s">
        <v>125</v>
      </c>
      <c r="C14" t="s">
        <v>126</v>
      </c>
      <c r="D14" s="63">
        <v>4.1900000000000004</v>
      </c>
      <c r="E14" s="82">
        <v>4.918032786885246</v>
      </c>
      <c r="F14" t="s">
        <v>25</v>
      </c>
      <c r="G14" s="63">
        <v>20</v>
      </c>
    </row>
    <row r="15" spans="1:12" ht="14.4" customHeight="1" x14ac:dyDescent="0.25">
      <c r="A15" t="s">
        <v>127</v>
      </c>
      <c r="B15" t="s">
        <v>125</v>
      </c>
      <c r="C15" t="s">
        <v>128</v>
      </c>
      <c r="D15" s="63">
        <v>3.25</v>
      </c>
      <c r="E15" s="82">
        <v>0.64383561643835618</v>
      </c>
      <c r="F15">
        <v>0</v>
      </c>
      <c r="G15" s="63">
        <v>5</v>
      </c>
    </row>
    <row r="16" spans="1:12" ht="14.4" customHeight="1" x14ac:dyDescent="0.25">
      <c r="A16" t="s">
        <v>129</v>
      </c>
      <c r="B16" t="s">
        <v>130</v>
      </c>
      <c r="C16" t="s">
        <v>131</v>
      </c>
      <c r="D16" s="63">
        <v>3.1</v>
      </c>
      <c r="E16" s="82">
        <v>0.58356164383561648</v>
      </c>
      <c r="F16">
        <v>0</v>
      </c>
      <c r="G16" s="63">
        <v>10</v>
      </c>
    </row>
    <row r="17" spans="1:7" ht="14.4" customHeight="1" x14ac:dyDescent="0.25">
      <c r="A17" t="s">
        <v>132</v>
      </c>
      <c r="B17" t="s">
        <v>133</v>
      </c>
      <c r="C17" t="s">
        <v>134</v>
      </c>
      <c r="D17" s="63">
        <v>4.59</v>
      </c>
      <c r="E17" s="82">
        <v>4.7808219178082192</v>
      </c>
      <c r="F17" t="s">
        <v>25</v>
      </c>
      <c r="G17" s="63">
        <v>25</v>
      </c>
    </row>
    <row r="18" spans="1:7" ht="14.4" customHeight="1" x14ac:dyDescent="0.25">
      <c r="A18" t="s">
        <v>135</v>
      </c>
      <c r="B18" t="s">
        <v>136</v>
      </c>
      <c r="C18" t="s">
        <v>137</v>
      </c>
      <c r="D18" s="63">
        <v>4.26</v>
      </c>
      <c r="E18" s="82">
        <v>4.7671232876712324</v>
      </c>
      <c r="F18" t="s">
        <v>25</v>
      </c>
      <c r="G18" s="63">
        <v>15</v>
      </c>
    </row>
    <row r="19" spans="1:7" ht="14.4" customHeight="1" x14ac:dyDescent="0.25">
      <c r="A19" t="s">
        <v>138</v>
      </c>
      <c r="B19" t="s">
        <v>139</v>
      </c>
      <c r="C19" t="s">
        <v>140</v>
      </c>
      <c r="D19" s="63">
        <v>4.0999999999999996</v>
      </c>
      <c r="E19" s="82">
        <v>4.7479452054794518</v>
      </c>
      <c r="F19" t="s">
        <v>25</v>
      </c>
      <c r="G19" s="63">
        <v>10</v>
      </c>
    </row>
    <row r="20" spans="1:7" ht="14.4" customHeight="1" x14ac:dyDescent="0.25">
      <c r="A20" t="s">
        <v>141</v>
      </c>
      <c r="B20" t="s">
        <v>142</v>
      </c>
      <c r="C20" t="s">
        <v>143</v>
      </c>
      <c r="D20" s="63">
        <v>3.82</v>
      </c>
      <c r="E20" s="82">
        <v>0.40547945205479452</v>
      </c>
      <c r="F20">
        <v>0</v>
      </c>
      <c r="G20" s="63">
        <v>10</v>
      </c>
    </row>
    <row r="21" spans="1:7" ht="14.4" customHeight="1" x14ac:dyDescent="0.25">
      <c r="A21" t="s">
        <v>144</v>
      </c>
      <c r="B21" t="s">
        <v>145</v>
      </c>
      <c r="C21" t="s">
        <v>146</v>
      </c>
      <c r="D21" s="63">
        <v>4.05</v>
      </c>
      <c r="E21" s="82">
        <v>2.6547945205479451</v>
      </c>
      <c r="F21" t="s">
        <v>25</v>
      </c>
      <c r="G21" s="63">
        <v>10</v>
      </c>
    </row>
    <row r="22" spans="1:7" ht="14.4" customHeight="1" x14ac:dyDescent="0.25">
      <c r="A22" t="s">
        <v>147</v>
      </c>
      <c r="B22" t="s">
        <v>148</v>
      </c>
      <c r="C22" t="s">
        <v>149</v>
      </c>
      <c r="D22" s="63">
        <v>3.93</v>
      </c>
      <c r="E22" s="82">
        <v>0.18630136986301371</v>
      </c>
      <c r="F22">
        <v>0</v>
      </c>
      <c r="G22" s="63">
        <v>13</v>
      </c>
    </row>
    <row r="23" spans="1:7" ht="14.4" customHeight="1" x14ac:dyDescent="0.25">
      <c r="A23" t="s">
        <v>150</v>
      </c>
      <c r="B23" t="s">
        <v>151</v>
      </c>
      <c r="C23" t="s">
        <v>152</v>
      </c>
      <c r="D23" s="63">
        <v>3.87</v>
      </c>
      <c r="E23" s="82">
        <v>0.17808219178082191</v>
      </c>
      <c r="F23">
        <v>0</v>
      </c>
      <c r="G23" s="63">
        <v>5</v>
      </c>
    </row>
    <row r="24" spans="1:7" ht="14.4" customHeight="1" x14ac:dyDescent="0.25">
      <c r="A24" t="s">
        <v>153</v>
      </c>
      <c r="B24" t="s">
        <v>154</v>
      </c>
      <c r="C24" t="s">
        <v>155</v>
      </c>
      <c r="D24" s="63">
        <v>3.8</v>
      </c>
      <c r="E24" s="82">
        <v>0</v>
      </c>
      <c r="F24">
        <v>0</v>
      </c>
      <c r="G24" s="63">
        <v>7</v>
      </c>
    </row>
    <row r="25" spans="1:7" ht="14.4" customHeight="1" x14ac:dyDescent="0.25">
      <c r="A25" t="s">
        <v>156</v>
      </c>
      <c r="B25" t="s">
        <v>157</v>
      </c>
      <c r="C25" t="s">
        <v>158</v>
      </c>
      <c r="D25" s="63">
        <v>3.9</v>
      </c>
      <c r="E25" s="82">
        <v>0</v>
      </c>
      <c r="F25">
        <v>0</v>
      </c>
      <c r="G25" s="63">
        <v>15</v>
      </c>
    </row>
    <row r="26" spans="1:7" ht="14.4" customHeight="1" x14ac:dyDescent="0.25">
      <c r="A26" t="s">
        <v>159</v>
      </c>
      <c r="B26" t="s">
        <v>160</v>
      </c>
      <c r="C26" t="s">
        <v>161</v>
      </c>
      <c r="D26" s="63">
        <v>4.68</v>
      </c>
      <c r="E26" s="82">
        <v>4.3315068493150681</v>
      </c>
      <c r="F26" t="s">
        <v>25</v>
      </c>
      <c r="G26" s="63">
        <v>20</v>
      </c>
    </row>
    <row r="27" spans="1:7" ht="14.4" customHeight="1" x14ac:dyDescent="0.25">
      <c r="A27" t="s">
        <v>162</v>
      </c>
      <c r="B27" t="s">
        <v>163</v>
      </c>
      <c r="C27" t="s">
        <v>164</v>
      </c>
      <c r="D27" s="63">
        <v>3.4</v>
      </c>
      <c r="E27" s="82">
        <v>0</v>
      </c>
      <c r="F27">
        <v>0</v>
      </c>
      <c r="G27" s="63">
        <v>8</v>
      </c>
    </row>
    <row r="28" spans="1:7" ht="14.4" customHeight="1" x14ac:dyDescent="0.25">
      <c r="A28" t="s">
        <v>165</v>
      </c>
      <c r="B28" t="s">
        <v>166</v>
      </c>
      <c r="C28" t="s">
        <v>167</v>
      </c>
      <c r="D28" s="63">
        <v>3.6</v>
      </c>
      <c r="E28" s="82">
        <v>4.9315068493150684E-2</v>
      </c>
      <c r="F28">
        <v>0</v>
      </c>
      <c r="G28" s="63">
        <v>12</v>
      </c>
    </row>
    <row r="29" spans="1:7" ht="14.4" customHeight="1" x14ac:dyDescent="0.25">
      <c r="A29" t="s">
        <v>168</v>
      </c>
      <c r="B29" t="s">
        <v>169</v>
      </c>
      <c r="C29" t="s">
        <v>170</v>
      </c>
      <c r="D29" s="63">
        <v>5.27</v>
      </c>
      <c r="E29" s="82">
        <v>3.9480874316939891</v>
      </c>
      <c r="F29" t="s">
        <v>25</v>
      </c>
      <c r="G29" s="63">
        <v>10</v>
      </c>
    </row>
    <row r="30" spans="1:7" ht="14.4" customHeight="1" x14ac:dyDescent="0.25">
      <c r="A30" t="s">
        <v>171</v>
      </c>
      <c r="B30" t="s">
        <v>172</v>
      </c>
      <c r="C30" t="s">
        <v>173</v>
      </c>
      <c r="D30" s="63">
        <v>6.7</v>
      </c>
      <c r="E30" s="82">
        <v>3.6739726027397261</v>
      </c>
      <c r="F30" t="s">
        <v>25</v>
      </c>
      <c r="G30" s="63">
        <v>40</v>
      </c>
    </row>
    <row r="31" spans="1:7" ht="14.4" customHeight="1" x14ac:dyDescent="0.25">
      <c r="A31" t="s">
        <v>174</v>
      </c>
      <c r="B31" t="s">
        <v>175</v>
      </c>
      <c r="C31" t="s">
        <v>176</v>
      </c>
      <c r="D31" s="63">
        <v>6.5</v>
      </c>
      <c r="E31" s="82">
        <v>3.6410958904109592</v>
      </c>
      <c r="F31" t="s">
        <v>25</v>
      </c>
      <c r="G31" s="63">
        <v>20</v>
      </c>
    </row>
    <row r="32" spans="1:7" ht="14.4" customHeight="1" x14ac:dyDescent="0.25">
      <c r="A32" t="s">
        <v>177</v>
      </c>
      <c r="B32" t="s">
        <v>178</v>
      </c>
      <c r="C32" t="s">
        <v>179</v>
      </c>
      <c r="D32" s="63">
        <v>4.9000000000000004</v>
      </c>
      <c r="E32" s="82">
        <v>2.1917808219178081</v>
      </c>
      <c r="F32" t="s">
        <v>25</v>
      </c>
      <c r="G32" s="63">
        <v>3</v>
      </c>
    </row>
    <row r="33" spans="1:7" ht="14.4" customHeight="1" x14ac:dyDescent="0.25">
      <c r="A33" t="s">
        <v>180</v>
      </c>
      <c r="B33" t="s">
        <v>181</v>
      </c>
      <c r="C33" t="s">
        <v>182</v>
      </c>
      <c r="D33" s="63">
        <v>4.5999999999999996</v>
      </c>
      <c r="E33" s="82">
        <v>0</v>
      </c>
      <c r="F33" t="s">
        <v>25</v>
      </c>
      <c r="G33" s="63">
        <v>0.96</v>
      </c>
    </row>
    <row r="34" spans="1:7" ht="14.4" customHeight="1" x14ac:dyDescent="0.25">
      <c r="A34" t="s">
        <v>183</v>
      </c>
      <c r="B34" t="s">
        <v>181</v>
      </c>
      <c r="C34" t="s">
        <v>184</v>
      </c>
      <c r="D34" s="63">
        <v>4.75</v>
      </c>
      <c r="E34" s="82">
        <v>3.6301369863013697</v>
      </c>
      <c r="F34" t="s">
        <v>25</v>
      </c>
      <c r="G34" s="63">
        <v>1.95</v>
      </c>
    </row>
    <row r="35" spans="1:7" ht="14.4" customHeight="1" x14ac:dyDescent="0.25">
      <c r="A35" t="s">
        <v>185</v>
      </c>
      <c r="B35" t="s">
        <v>181</v>
      </c>
      <c r="C35" t="s">
        <v>186</v>
      </c>
      <c r="D35" s="63">
        <v>4.75</v>
      </c>
      <c r="E35" s="82">
        <v>1.6301369863013697</v>
      </c>
      <c r="F35" t="s">
        <v>25</v>
      </c>
      <c r="G35" s="63">
        <v>1.73</v>
      </c>
    </row>
    <row r="36" spans="1:7" ht="14.4" customHeight="1" x14ac:dyDescent="0.25">
      <c r="A36" t="s">
        <v>187</v>
      </c>
      <c r="B36" t="s">
        <v>181</v>
      </c>
      <c r="C36" t="s">
        <v>188</v>
      </c>
      <c r="D36" s="63">
        <v>4.7</v>
      </c>
      <c r="E36" s="82">
        <v>0.63013698630136983</v>
      </c>
      <c r="F36" t="s">
        <v>25</v>
      </c>
      <c r="G36" s="63">
        <v>1.6</v>
      </c>
    </row>
    <row r="37" spans="1:7" ht="14.4" customHeight="1" x14ac:dyDescent="0.25">
      <c r="A37" t="s">
        <v>189</v>
      </c>
      <c r="B37" t="s">
        <v>181</v>
      </c>
      <c r="C37" t="s">
        <v>190</v>
      </c>
      <c r="D37" s="63">
        <v>4.6500000000000004</v>
      </c>
      <c r="E37" s="82">
        <v>0</v>
      </c>
      <c r="F37" t="s">
        <v>25</v>
      </c>
      <c r="G37" s="63">
        <v>1.18</v>
      </c>
    </row>
    <row r="38" spans="1:7" ht="14.4" customHeight="1" x14ac:dyDescent="0.25">
      <c r="A38" t="s">
        <v>191</v>
      </c>
      <c r="B38" t="s">
        <v>181</v>
      </c>
      <c r="C38" t="s">
        <v>192</v>
      </c>
      <c r="D38" s="63">
        <v>4.75</v>
      </c>
      <c r="E38" s="82">
        <v>2.6301369863013697</v>
      </c>
      <c r="F38" t="s">
        <v>25</v>
      </c>
      <c r="G38" s="63">
        <v>1.84</v>
      </c>
    </row>
    <row r="39" spans="1:7" ht="14.4" customHeight="1" x14ac:dyDescent="0.25">
      <c r="A39" t="s">
        <v>193</v>
      </c>
      <c r="B39" t="s">
        <v>181</v>
      </c>
      <c r="C39" t="s">
        <v>194</v>
      </c>
      <c r="D39" s="63">
        <v>4.6500000000000004</v>
      </c>
      <c r="E39" s="82">
        <v>0</v>
      </c>
      <c r="F39" t="s">
        <v>25</v>
      </c>
      <c r="G39" s="63">
        <v>1.44</v>
      </c>
    </row>
    <row r="40" spans="1:7" ht="14.4" customHeight="1" x14ac:dyDescent="0.25">
      <c r="A40" t="s">
        <v>195</v>
      </c>
      <c r="B40" t="s">
        <v>181</v>
      </c>
      <c r="C40" t="s">
        <v>196</v>
      </c>
      <c r="D40" s="63"/>
      <c r="E40" s="82">
        <v>3.6301369863013697</v>
      </c>
      <c r="F40">
        <v>0</v>
      </c>
      <c r="G40" s="63">
        <v>0.5</v>
      </c>
    </row>
    <row r="41" spans="1:7" ht="14.4" customHeight="1" x14ac:dyDescent="0.25">
      <c r="A41" t="s">
        <v>197</v>
      </c>
      <c r="B41" t="s">
        <v>198</v>
      </c>
      <c r="C41" t="s">
        <v>199</v>
      </c>
      <c r="D41" s="63">
        <v>5.5</v>
      </c>
      <c r="E41" s="82">
        <v>0.13150684931506848</v>
      </c>
      <c r="F41" t="s">
        <v>25</v>
      </c>
      <c r="G41" s="63">
        <v>8</v>
      </c>
    </row>
    <row r="42" spans="1:7" ht="14.4" customHeight="1" x14ac:dyDescent="0.25">
      <c r="A42" t="s">
        <v>200</v>
      </c>
      <c r="B42" t="s">
        <v>198</v>
      </c>
      <c r="C42" t="s">
        <v>201</v>
      </c>
      <c r="D42" s="63">
        <v>5.5</v>
      </c>
      <c r="E42" s="82">
        <v>0.13150684931506848</v>
      </c>
      <c r="F42" t="s">
        <v>25</v>
      </c>
      <c r="G42" s="63">
        <v>8</v>
      </c>
    </row>
    <row r="43" spans="1:7" ht="14.4" customHeight="1" x14ac:dyDescent="0.25">
      <c r="A43" t="s">
        <v>202</v>
      </c>
      <c r="B43" t="s">
        <v>203</v>
      </c>
      <c r="C43" t="s">
        <v>204</v>
      </c>
      <c r="D43" s="63">
        <v>8.43</v>
      </c>
      <c r="E43" s="82">
        <v>0</v>
      </c>
      <c r="F43" t="s">
        <v>25</v>
      </c>
      <c r="G43" s="63">
        <v>25</v>
      </c>
    </row>
    <row r="44" spans="1:7" ht="14.4" customHeight="1" x14ac:dyDescent="0.25">
      <c r="A44" t="s">
        <v>205</v>
      </c>
      <c r="B44" t="s">
        <v>203</v>
      </c>
      <c r="C44" t="s">
        <v>206</v>
      </c>
      <c r="D44" s="63">
        <v>8.43</v>
      </c>
      <c r="E44" s="82">
        <v>0</v>
      </c>
      <c r="F44" t="s">
        <v>25</v>
      </c>
      <c r="G44" s="63">
        <v>25</v>
      </c>
    </row>
    <row r="45" spans="1:7" ht="14.4" customHeight="1" x14ac:dyDescent="0.25">
      <c r="A45" t="s">
        <v>207</v>
      </c>
      <c r="C45" t="s">
        <v>208</v>
      </c>
      <c r="D45" s="63"/>
      <c r="E45" s="82">
        <v>0</v>
      </c>
      <c r="F45" t="s">
        <v>25</v>
      </c>
      <c r="G45" s="63">
        <v>0</v>
      </c>
    </row>
    <row r="46" spans="1:7" ht="14.4" customHeight="1" x14ac:dyDescent="0.25">
      <c r="A46" t="s">
        <v>209</v>
      </c>
      <c r="C46" t="s">
        <v>210</v>
      </c>
      <c r="D46" s="63"/>
      <c r="E46" s="82">
        <v>0</v>
      </c>
      <c r="F46" t="s">
        <v>25</v>
      </c>
      <c r="G46" s="63">
        <v>0</v>
      </c>
    </row>
    <row r="47" spans="1:7" ht="14.4" customHeight="1" x14ac:dyDescent="0.25">
      <c r="D47" s="63"/>
      <c r="E47" s="82"/>
      <c r="G47" s="63"/>
    </row>
    <row r="48" spans="1:7" ht="14.4" customHeight="1" x14ac:dyDescent="0.25">
      <c r="D48" s="63"/>
      <c r="E48" s="82"/>
      <c r="G48" s="63"/>
    </row>
    <row r="49" spans="1:7" ht="14.4" customHeight="1" x14ac:dyDescent="0.25">
      <c r="D49" s="63"/>
      <c r="E49" s="82"/>
      <c r="G49" s="63"/>
    </row>
    <row r="50" spans="1:7" ht="14.4" customHeight="1" x14ac:dyDescent="0.25">
      <c r="D50" s="63"/>
      <c r="E50" s="82"/>
      <c r="G50" s="63"/>
    </row>
    <row r="51" spans="1:7" ht="14.4" customHeight="1" x14ac:dyDescent="0.25">
      <c r="D51" s="63"/>
      <c r="E51" s="82"/>
      <c r="G51" s="63"/>
    </row>
    <row r="52" spans="1:7" ht="14.4" customHeight="1" x14ac:dyDescent="0.25">
      <c r="A52" s="143" t="s">
        <v>211</v>
      </c>
      <c r="B52" s="143"/>
      <c r="C52" s="143"/>
      <c r="D52" s="143"/>
      <c r="E52" s="82"/>
      <c r="G52" s="63"/>
    </row>
    <row r="53" spans="1:7" ht="14.4" customHeight="1" x14ac:dyDescent="0.25">
      <c r="A53" s="83" t="s">
        <v>212</v>
      </c>
      <c r="B53" s="83" t="s">
        <v>213</v>
      </c>
      <c r="C53" s="83" t="s">
        <v>214</v>
      </c>
      <c r="D53" s="84" t="s">
        <v>215</v>
      </c>
      <c r="E53" s="82"/>
      <c r="G53" s="63"/>
    </row>
    <row r="54" spans="1:7" ht="14.4" customHeight="1" x14ac:dyDescent="0.25">
      <c r="A54" t="s">
        <v>216</v>
      </c>
      <c r="B54" t="s">
        <v>25</v>
      </c>
      <c r="C54" t="s">
        <v>217</v>
      </c>
      <c r="D54" s="63" t="s">
        <v>218</v>
      </c>
      <c r="E54" s="82"/>
      <c r="G54" s="63"/>
    </row>
    <row r="55" spans="1:7" ht="14.4" customHeight="1" x14ac:dyDescent="0.25">
      <c r="A55" t="s">
        <v>219</v>
      </c>
      <c r="B55" t="s">
        <v>25</v>
      </c>
      <c r="C55" t="s">
        <v>217</v>
      </c>
      <c r="D55" s="63" t="s">
        <v>218</v>
      </c>
      <c r="E55" s="82"/>
      <c r="G55" s="63"/>
    </row>
    <row r="56" spans="1:7" ht="14.4" customHeight="1" x14ac:dyDescent="0.25">
      <c r="A56" t="s">
        <v>220</v>
      </c>
      <c r="B56" t="s">
        <v>25</v>
      </c>
      <c r="C56" t="s">
        <v>217</v>
      </c>
      <c r="D56" s="63" t="s">
        <v>218</v>
      </c>
      <c r="E56" s="82"/>
      <c r="G56" s="63"/>
    </row>
    <row r="57" spans="1:7" ht="14.4" customHeight="1" x14ac:dyDescent="0.25">
      <c r="A57" t="s">
        <v>221</v>
      </c>
      <c r="B57" t="s">
        <v>25</v>
      </c>
      <c r="C57" t="s">
        <v>217</v>
      </c>
      <c r="D57" s="63" t="s">
        <v>218</v>
      </c>
      <c r="E57" s="82"/>
      <c r="G57" s="63"/>
    </row>
    <row r="58" spans="1:7" ht="14.4" customHeight="1" x14ac:dyDescent="0.25">
      <c r="A58" t="s">
        <v>222</v>
      </c>
      <c r="B58" t="s">
        <v>25</v>
      </c>
      <c r="C58" t="s">
        <v>217</v>
      </c>
      <c r="D58" s="63" t="s">
        <v>218</v>
      </c>
      <c r="E58" s="82"/>
      <c r="G58" s="63"/>
    </row>
    <row r="59" spans="1:7" ht="14.4" customHeight="1" x14ac:dyDescent="0.25">
      <c r="A59" t="s">
        <v>223</v>
      </c>
      <c r="B59" t="s">
        <v>25</v>
      </c>
      <c r="C59" t="s">
        <v>217</v>
      </c>
      <c r="D59" s="63" t="s">
        <v>218</v>
      </c>
      <c r="E59" s="82"/>
      <c r="G59" s="63"/>
    </row>
    <row r="60" spans="1:7" ht="14.4" customHeight="1" x14ac:dyDescent="0.25">
      <c r="A60" t="s">
        <v>224</v>
      </c>
      <c r="B60" t="s">
        <v>225</v>
      </c>
      <c r="C60" t="s">
        <v>217</v>
      </c>
      <c r="D60" s="63" t="s">
        <v>218</v>
      </c>
      <c r="E60" s="82"/>
      <c r="G60" s="63"/>
    </row>
    <row r="61" spans="1:7" ht="14.4" customHeight="1" x14ac:dyDescent="0.25">
      <c r="A61" t="s">
        <v>226</v>
      </c>
      <c r="B61" t="s">
        <v>225</v>
      </c>
      <c r="C61" t="s">
        <v>217</v>
      </c>
      <c r="D61" s="63" t="s">
        <v>218</v>
      </c>
      <c r="E61" s="82"/>
      <c r="G61" s="63"/>
    </row>
    <row r="62" spans="1:7" ht="14.4" customHeight="1" x14ac:dyDescent="0.25">
      <c r="A62" t="s">
        <v>227</v>
      </c>
      <c r="B62" t="s">
        <v>225</v>
      </c>
      <c r="C62" t="s">
        <v>217</v>
      </c>
      <c r="D62" s="63" t="s">
        <v>218</v>
      </c>
      <c r="E62" s="82"/>
      <c r="G62" s="63"/>
    </row>
    <row r="63" spans="1:7" ht="14.4" customHeight="1" x14ac:dyDescent="0.25">
      <c r="A63" t="s">
        <v>228</v>
      </c>
      <c r="B63" t="s">
        <v>225</v>
      </c>
      <c r="C63" t="s">
        <v>217</v>
      </c>
      <c r="D63" s="63" t="s">
        <v>218</v>
      </c>
      <c r="E63" s="82"/>
      <c r="G63" s="63"/>
    </row>
    <row r="64" spans="1:7" ht="14.4" customHeight="1" x14ac:dyDescent="0.25">
      <c r="A64" t="s">
        <v>229</v>
      </c>
      <c r="B64" t="s">
        <v>225</v>
      </c>
      <c r="C64" t="s">
        <v>217</v>
      </c>
      <c r="D64" s="63" t="s">
        <v>218</v>
      </c>
      <c r="E64" s="82"/>
      <c r="G64" s="63"/>
    </row>
    <row r="65" spans="1:7" ht="14.4" customHeight="1" x14ac:dyDescent="0.25">
      <c r="A65" t="s">
        <v>230</v>
      </c>
      <c r="B65" t="s">
        <v>225</v>
      </c>
      <c r="C65" t="s">
        <v>217</v>
      </c>
      <c r="D65" s="63" t="s">
        <v>218</v>
      </c>
      <c r="E65" s="82"/>
      <c r="G65" s="63"/>
    </row>
    <row r="66" spans="1:7" ht="14.4" customHeight="1" x14ac:dyDescent="0.25">
      <c r="A66" t="s">
        <v>231</v>
      </c>
      <c r="B66" t="s">
        <v>225</v>
      </c>
      <c r="C66" t="s">
        <v>217</v>
      </c>
      <c r="D66" s="63" t="s">
        <v>218</v>
      </c>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232</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52:D52"/>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6" t="s">
        <v>61</v>
      </c>
      <c r="B4" s="85">
        <v>0.72692499999999993</v>
      </c>
      <c r="C4" s="56" t="s">
        <v>36</v>
      </c>
      <c r="D4" s="86">
        <v>1.9594</v>
      </c>
      <c r="E4" s="56" t="s">
        <v>41</v>
      </c>
      <c r="F4" s="85">
        <v>1.1344000000000001</v>
      </c>
      <c r="G4" s="56" t="s">
        <v>42</v>
      </c>
      <c r="H4" s="85">
        <v>0.22089900000000001</v>
      </c>
      <c r="I4" s="56"/>
      <c r="J4" s="87"/>
    </row>
    <row r="5" spans="1:10" ht="15.75" customHeight="1" x14ac:dyDescent="0.25">
      <c r="A5" s="56" t="s">
        <v>62</v>
      </c>
      <c r="B5" s="85">
        <v>0.81837000000000004</v>
      </c>
      <c r="C5" s="56" t="s">
        <v>63</v>
      </c>
      <c r="D5" s="86">
        <v>0.628</v>
      </c>
      <c r="E5" s="56" t="s">
        <v>64</v>
      </c>
      <c r="F5" s="86">
        <v>33.345500000000001</v>
      </c>
      <c r="G5" s="56" t="s">
        <v>65</v>
      </c>
      <c r="H5" s="85">
        <v>0.112355</v>
      </c>
      <c r="I5" s="56"/>
      <c r="J5" s="87"/>
    </row>
    <row r="6" spans="1:10" ht="15" customHeight="1" x14ac:dyDescent="0.25">
      <c r="A6" s="56" t="s">
        <v>66</v>
      </c>
      <c r="B6" s="85">
        <v>0.57457099999999994</v>
      </c>
      <c r="C6" s="56" t="s">
        <v>39</v>
      </c>
      <c r="D6" s="88">
        <v>4.07E-2</v>
      </c>
      <c r="E6" s="56" t="s">
        <v>67</v>
      </c>
      <c r="F6" s="86">
        <v>0.29370000000000002</v>
      </c>
      <c r="G6" s="56" t="s">
        <v>45</v>
      </c>
      <c r="H6" s="85">
        <v>5.0900000000000001E-2</v>
      </c>
      <c r="I6" s="56"/>
      <c r="J6" s="87"/>
    </row>
    <row r="7" spans="1:10" ht="14.25" customHeight="1" x14ac:dyDescent="0.25">
      <c r="A7" s="56" t="s">
        <v>38</v>
      </c>
      <c r="B7" s="88">
        <v>1.5507649791431672</v>
      </c>
      <c r="C7" s="56" t="s">
        <v>68</v>
      </c>
      <c r="D7" s="88">
        <v>4.5140000000000002</v>
      </c>
      <c r="E7" s="56" t="s">
        <v>69</v>
      </c>
      <c r="F7" s="86">
        <v>0.25779999999999997</v>
      </c>
      <c r="G7" s="56" t="s">
        <v>70</v>
      </c>
      <c r="H7" s="85">
        <v>3.0564000000000001E-2</v>
      </c>
      <c r="I7" s="56"/>
      <c r="J7" s="87"/>
    </row>
    <row r="8" spans="1:10" x14ac:dyDescent="0.25">
      <c r="A8" s="56"/>
      <c r="B8" s="89"/>
      <c r="C8" s="56"/>
      <c r="D8" s="90"/>
      <c r="E8" s="56" t="s">
        <v>71</v>
      </c>
      <c r="F8" s="86">
        <v>0.21149999999999999</v>
      </c>
      <c r="G8" s="56"/>
      <c r="H8" s="89"/>
      <c r="I8" s="56"/>
      <c r="J8" s="89"/>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6" t="s">
        <v>77</v>
      </c>
      <c r="B12" s="91">
        <v>215.90573159819999</v>
      </c>
      <c r="C12" s="56" t="s">
        <v>78</v>
      </c>
      <c r="D12" s="88">
        <v>441.5523851758</v>
      </c>
      <c r="E12" s="147" t="s">
        <v>79</v>
      </c>
      <c r="F12" s="120"/>
      <c r="G12" s="120"/>
      <c r="H12" s="148">
        <v>500.88775041150001</v>
      </c>
      <c r="I12" s="120"/>
      <c r="J12" s="120"/>
    </row>
    <row r="13" spans="1:10" ht="14.25" customHeight="1" x14ac:dyDescent="0.25">
      <c r="A13" s="56" t="s">
        <v>80</v>
      </c>
      <c r="B13" s="91">
        <v>19.3487775386</v>
      </c>
      <c r="C13" s="56" t="s">
        <v>81</v>
      </c>
      <c r="D13" s="88">
        <v>404.20416198539999</v>
      </c>
      <c r="E13" s="147" t="s">
        <v>82</v>
      </c>
      <c r="F13" s="120"/>
      <c r="G13" s="120"/>
      <c r="H13" s="148">
        <v>37.170391673200001</v>
      </c>
      <c r="I13" s="120"/>
      <c r="J13" s="120"/>
    </row>
    <row r="14" spans="1:10" ht="14.25" customHeight="1" x14ac:dyDescent="0.25">
      <c r="A14" s="56" t="s">
        <v>83</v>
      </c>
      <c r="B14" s="91">
        <v>17.596050791300001</v>
      </c>
      <c r="C14" s="56" t="s">
        <v>84</v>
      </c>
      <c r="D14" s="88">
        <v>344.01374658399999</v>
      </c>
      <c r="E14" s="147" t="s">
        <v>85</v>
      </c>
      <c r="F14" s="120"/>
      <c r="G14" s="120"/>
      <c r="H14" s="148">
        <v>580.40828957050007</v>
      </c>
      <c r="I14" s="120"/>
      <c r="J14" s="120"/>
    </row>
    <row r="15" spans="1:10" ht="14.25" customHeight="1" x14ac:dyDescent="0.25">
      <c r="A15" s="56" t="s">
        <v>86</v>
      </c>
      <c r="B15" s="91">
        <v>84.234092376099994</v>
      </c>
      <c r="C15" s="56" t="s">
        <v>87</v>
      </c>
      <c r="D15" s="88">
        <v>5.3890958449999999</v>
      </c>
      <c r="E15" s="147" t="s">
        <v>88</v>
      </c>
      <c r="F15" s="120"/>
      <c r="G15" s="120"/>
      <c r="H15" s="148">
        <v>318.04030097750001</v>
      </c>
      <c r="I15" s="120"/>
      <c r="J15" s="120"/>
    </row>
    <row r="16" spans="1:10" ht="14.25" customHeight="1" x14ac:dyDescent="0.25">
      <c r="A16" s="56" t="s">
        <v>89</v>
      </c>
      <c r="B16" s="91">
        <v>3.3021727005000003</v>
      </c>
      <c r="C16" s="56" t="s">
        <v>90</v>
      </c>
      <c r="D16" s="88">
        <v>19.2485340293</v>
      </c>
      <c r="E16" s="147" t="s">
        <v>91</v>
      </c>
      <c r="F16" s="120"/>
      <c r="G16" s="120"/>
      <c r="H16" s="148">
        <v>80.602155979000003</v>
      </c>
      <c r="I16" s="120"/>
      <c r="J16" s="120"/>
    </row>
    <row r="17" spans="1:10" ht="14.25" customHeight="1" x14ac:dyDescent="0.25">
      <c r="A17" s="56" t="s">
        <v>92</v>
      </c>
      <c r="B17" s="91">
        <v>21.488750416199998</v>
      </c>
      <c r="C17" s="56" t="s">
        <v>93</v>
      </c>
      <c r="D17" s="88">
        <v>15.377732326199999</v>
      </c>
      <c r="E17" s="147" t="s">
        <v>94</v>
      </c>
      <c r="F17" s="120"/>
      <c r="G17" s="120"/>
      <c r="H17" s="148">
        <v>475.92364289779999</v>
      </c>
      <c r="I17" s="120"/>
      <c r="J17" s="120"/>
    </row>
    <row r="18" spans="1:10" ht="14.25" customHeight="1" x14ac:dyDescent="0.25">
      <c r="A18" s="56" t="s">
        <v>95</v>
      </c>
      <c r="B18" s="91">
        <v>2284.7941704362001</v>
      </c>
      <c r="C18" s="56" t="s">
        <v>96</v>
      </c>
      <c r="D18" s="88">
        <v>49.610526823299999</v>
      </c>
      <c r="E18" s="147" t="s">
        <v>97</v>
      </c>
      <c r="F18" s="120"/>
      <c r="G18" s="120"/>
      <c r="H18" s="148">
        <v>104.48464667260001</v>
      </c>
      <c r="I18" s="120"/>
      <c r="J18" s="120"/>
    </row>
    <row r="19" spans="1:10" ht="14.25" customHeight="1" x14ac:dyDescent="0.25">
      <c r="A19" s="56" t="s">
        <v>98</v>
      </c>
      <c r="B19" s="91">
        <v>140.84435138770002</v>
      </c>
      <c r="C19" s="56" t="s">
        <v>99</v>
      </c>
      <c r="D19" s="88">
        <v>49.685158664700005</v>
      </c>
      <c r="E19" s="147" t="s">
        <v>100</v>
      </c>
      <c r="F19" s="120"/>
      <c r="G19" s="120"/>
      <c r="H19" s="148">
        <v>-347.03403085500003</v>
      </c>
      <c r="I19" s="120"/>
      <c r="J19" s="120"/>
    </row>
    <row r="20" spans="1:10" ht="27" customHeight="1" x14ac:dyDescent="0.25">
      <c r="A20" s="56" t="s">
        <v>101</v>
      </c>
      <c r="B20" s="91">
        <v>128.7711744195</v>
      </c>
      <c r="C20" s="56" t="s">
        <v>43</v>
      </c>
      <c r="D20" s="88">
        <v>34.580323993699999</v>
      </c>
      <c r="E20" s="147" t="s">
        <v>102</v>
      </c>
      <c r="F20" s="120"/>
      <c r="G20" s="120"/>
      <c r="H20" s="148">
        <v>142.91490270049999</v>
      </c>
      <c r="I20" s="120"/>
      <c r="J20" s="120"/>
    </row>
    <row r="21" spans="1:10" ht="16.5" customHeight="1" x14ac:dyDescent="0.25">
      <c r="A21" s="56" t="s">
        <v>103</v>
      </c>
      <c r="B21" s="91">
        <v>0</v>
      </c>
      <c r="C21" s="56"/>
      <c r="D21" s="92"/>
      <c r="E21" s="147" t="s">
        <v>104</v>
      </c>
      <c r="F21" s="120"/>
      <c r="G21" s="120"/>
      <c r="H21" s="148">
        <v>625.61524232980003</v>
      </c>
      <c r="I21" s="120"/>
      <c r="J21" s="120"/>
    </row>
    <row r="22" spans="1:10" ht="14.25" customHeight="1" x14ac:dyDescent="0.25">
      <c r="A22" s="56" t="s">
        <v>105</v>
      </c>
      <c r="B22" s="91">
        <v>441.40100656120001</v>
      </c>
      <c r="C22" s="56"/>
      <c r="D22" s="92"/>
      <c r="E22" s="147" t="s">
        <v>106</v>
      </c>
      <c r="F22" s="120"/>
      <c r="G22" s="120"/>
      <c r="H22" s="148">
        <v>180.85154775580003</v>
      </c>
      <c r="I22" s="120"/>
      <c r="J22" s="120"/>
    </row>
    <row r="23" spans="1:10" ht="14.25" customHeight="1" x14ac:dyDescent="0.25">
      <c r="A23" s="56" t="s">
        <v>107</v>
      </c>
      <c r="B23" s="91">
        <v>248.20850868069999</v>
      </c>
      <c r="C23" s="56"/>
      <c r="D23" s="92"/>
      <c r="E23" s="147" t="s">
        <v>108</v>
      </c>
      <c r="F23" s="120"/>
      <c r="G23" s="120"/>
      <c r="H23" s="148">
        <v>951.05846340610003</v>
      </c>
      <c r="I23" s="120"/>
      <c r="J23" s="120"/>
    </row>
    <row r="24" spans="1:10" ht="14.25" customHeight="1" x14ac:dyDescent="0.25">
      <c r="A24" s="56" t="s">
        <v>109</v>
      </c>
      <c r="B24" s="91">
        <v>1660.8737513787</v>
      </c>
      <c r="C24" s="93"/>
      <c r="D24" s="90"/>
      <c r="E24" s="147" t="s">
        <v>110</v>
      </c>
      <c r="F24" s="120"/>
      <c r="G24" s="120"/>
      <c r="H24" s="148">
        <v>620.73851494339999</v>
      </c>
      <c r="I24" s="120"/>
      <c r="J24" s="120"/>
    </row>
    <row r="25" spans="1:10" ht="14.25" customHeight="1" x14ac:dyDescent="0.25">
      <c r="A25" s="56" t="s">
        <v>111</v>
      </c>
      <c r="B25" s="91">
        <v>623.9204190575</v>
      </c>
      <c r="C25" s="93"/>
      <c r="D25" s="90"/>
      <c r="E25" s="147" t="s">
        <v>112</v>
      </c>
      <c r="F25" s="120"/>
      <c r="G25" s="120"/>
      <c r="H25" s="148">
        <v>703.39005688999998</v>
      </c>
      <c r="I25" s="120"/>
      <c r="J25" s="120"/>
    </row>
    <row r="26" spans="1:10" ht="14.25" customHeight="1" x14ac:dyDescent="0.25">
      <c r="A26" s="94" t="s">
        <v>113</v>
      </c>
      <c r="B26" s="91">
        <v>2284.7941704362001</v>
      </c>
      <c r="C26" s="93"/>
      <c r="D26" s="90"/>
      <c r="E26" s="147" t="s">
        <v>114</v>
      </c>
      <c r="F26" s="120"/>
      <c r="G26" s="120"/>
      <c r="H26" s="148">
        <v>247.66840651609999</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3" t="s">
        <v>233</v>
      </c>
      <c r="B1" s="124"/>
      <c r="C1" s="124"/>
      <c r="D1" s="124"/>
      <c r="E1" s="124"/>
      <c r="F1" s="124"/>
      <c r="G1" s="124"/>
      <c r="H1" s="124"/>
      <c r="I1" s="124"/>
    </row>
    <row r="2" spans="1:10" ht="46.5" customHeight="1" x14ac:dyDescent="0.25">
      <c r="A2" s="53" t="s">
        <v>22</v>
      </c>
      <c r="B2" s="43" t="s">
        <v>327</v>
      </c>
      <c r="C2" s="43" t="s">
        <v>234</v>
      </c>
      <c r="D2" s="43" t="s">
        <v>334</v>
      </c>
      <c r="E2" s="43" t="s">
        <v>335</v>
      </c>
      <c r="F2" s="43" t="s">
        <v>336</v>
      </c>
      <c r="G2" s="43" t="s">
        <v>337</v>
      </c>
      <c r="H2" s="43" t="s">
        <v>338</v>
      </c>
      <c r="I2" s="43" t="s">
        <v>339</v>
      </c>
      <c r="J2" s="43" t="s">
        <v>340</v>
      </c>
    </row>
    <row r="3" spans="1:10" x14ac:dyDescent="0.25">
      <c r="A3" s="53" t="s">
        <v>24</v>
      </c>
      <c r="B3" s="96" t="s">
        <v>25</v>
      </c>
      <c r="C3" s="97" t="s">
        <v>235</v>
      </c>
      <c r="D3" s="96" t="s">
        <v>25</v>
      </c>
      <c r="E3" s="96" t="s">
        <v>25</v>
      </c>
      <c r="F3" s="96" t="s">
        <v>25</v>
      </c>
      <c r="G3" s="96" t="s">
        <v>25</v>
      </c>
      <c r="H3" s="96" t="s">
        <v>25</v>
      </c>
      <c r="I3" s="96" t="s">
        <v>25</v>
      </c>
      <c r="J3" s="96" t="s">
        <v>25</v>
      </c>
    </row>
    <row r="4" spans="1:10" s="7" customFormat="1" ht="21.6" x14ac:dyDescent="0.25">
      <c r="A4" s="9" t="s">
        <v>3</v>
      </c>
      <c r="B4" s="98" t="s">
        <v>328</v>
      </c>
      <c r="C4" s="97" t="s">
        <v>235</v>
      </c>
      <c r="D4" s="98" t="s">
        <v>328</v>
      </c>
      <c r="E4" s="98" t="s">
        <v>341</v>
      </c>
      <c r="F4" s="98" t="s">
        <v>328</v>
      </c>
      <c r="G4" s="98" t="s">
        <v>342</v>
      </c>
      <c r="H4" s="98" t="s">
        <v>328</v>
      </c>
      <c r="I4" s="98" t="s">
        <v>328</v>
      </c>
      <c r="J4" s="98" t="s">
        <v>328</v>
      </c>
    </row>
    <row r="5" spans="1:10" s="7" customFormat="1" x14ac:dyDescent="0.25">
      <c r="A5" s="9" t="s">
        <v>29</v>
      </c>
      <c r="B5" s="99" t="s">
        <v>30</v>
      </c>
      <c r="C5" s="97" t="s">
        <v>235</v>
      </c>
      <c r="D5" s="99" t="s">
        <v>30</v>
      </c>
      <c r="E5" s="99" t="s">
        <v>30</v>
      </c>
      <c r="F5" s="99" t="s">
        <v>30</v>
      </c>
      <c r="G5" s="99" t="s">
        <v>30</v>
      </c>
      <c r="H5" s="99" t="s">
        <v>30</v>
      </c>
      <c r="I5" s="99" t="s">
        <v>30</v>
      </c>
      <c r="J5" s="99" t="s">
        <v>30</v>
      </c>
    </row>
    <row r="6" spans="1:10" x14ac:dyDescent="0.25">
      <c r="A6" s="53" t="s">
        <v>32</v>
      </c>
      <c r="B6" s="100">
        <v>2284.7941704362001</v>
      </c>
      <c r="C6" s="97">
        <v>3408.4010480394427</v>
      </c>
      <c r="D6" s="100">
        <v>1414.2116900000001</v>
      </c>
      <c r="E6" s="100">
        <v>11653.469178045501</v>
      </c>
      <c r="F6" s="100">
        <v>811.80120505899993</v>
      </c>
      <c r="G6" s="100">
        <v>3326.2092121849</v>
      </c>
      <c r="H6" s="100">
        <v>2781.4531708756999</v>
      </c>
      <c r="I6" s="100">
        <v>2668.1369517288999</v>
      </c>
      <c r="J6" s="100">
        <v>1203.5259283821001</v>
      </c>
    </row>
    <row r="7" spans="1:10" x14ac:dyDescent="0.25">
      <c r="A7" s="53" t="s">
        <v>34</v>
      </c>
      <c r="B7" s="44">
        <v>0.72692499999999993</v>
      </c>
      <c r="C7" s="97">
        <v>0.75564485714285712</v>
      </c>
      <c r="D7" s="44">
        <v>0.77421000000000006</v>
      </c>
      <c r="E7" s="44">
        <v>0.83981300000000003</v>
      </c>
      <c r="F7" s="44">
        <v>0.75111800000000006</v>
      </c>
      <c r="G7" s="44">
        <v>0.72105599999999992</v>
      </c>
      <c r="H7" s="44">
        <v>0.68995400000000007</v>
      </c>
      <c r="I7" s="44">
        <v>0.79214399999999996</v>
      </c>
      <c r="J7" s="44">
        <v>0.72121899999999994</v>
      </c>
    </row>
    <row r="8" spans="1:10" x14ac:dyDescent="0.25">
      <c r="A8" s="53" t="s">
        <v>36</v>
      </c>
      <c r="B8" s="100">
        <v>1.9594</v>
      </c>
      <c r="C8" s="97">
        <v>1.7885857142857142</v>
      </c>
      <c r="D8" s="100">
        <v>1.6932</v>
      </c>
      <c r="E8" s="100">
        <v>1.2009000000000001</v>
      </c>
      <c r="F8" s="100">
        <v>0.98050000000000004</v>
      </c>
      <c r="G8" s="100">
        <v>1.7129000000000001</v>
      </c>
      <c r="H8" s="100">
        <v>2.0672000000000001</v>
      </c>
      <c r="I8" s="100">
        <v>1.9416</v>
      </c>
      <c r="J8" s="100">
        <v>2.9238</v>
      </c>
    </row>
    <row r="9" spans="1:10" x14ac:dyDescent="0.25">
      <c r="A9" s="53" t="s">
        <v>38</v>
      </c>
      <c r="B9" s="96">
        <v>1.5507649791431672</v>
      </c>
      <c r="C9" s="97">
        <v>1.434468658435186</v>
      </c>
      <c r="D9" s="96">
        <v>1.9028497629600183</v>
      </c>
      <c r="E9" s="96">
        <v>1.0264933512076175</v>
      </c>
      <c r="F9" s="96">
        <v>1.4238417872151186</v>
      </c>
      <c r="G9" s="96">
        <v>1.079250347020126</v>
      </c>
      <c r="H9" s="96">
        <v>0.70431455405331278</v>
      </c>
      <c r="I9" s="96">
        <v>2.008360640376543</v>
      </c>
      <c r="J9" s="96">
        <v>1.8961701662135653</v>
      </c>
    </row>
    <row r="10" spans="1:10" ht="21.6" customHeight="1" x14ac:dyDescent="0.25">
      <c r="A10" s="53" t="s">
        <v>39</v>
      </c>
      <c r="B10" s="100">
        <v>4.07E-2</v>
      </c>
      <c r="C10" s="97">
        <v>5.9299999999999999E-2</v>
      </c>
      <c r="D10" s="100">
        <v>3.6499999999999998E-2</v>
      </c>
      <c r="E10" s="100">
        <v>5.5800000000000002E-2</v>
      </c>
      <c r="F10" s="100">
        <v>0.1036</v>
      </c>
      <c r="G10" s="100">
        <v>9.5500000000000002E-2</v>
      </c>
      <c r="H10" s="100">
        <v>6.7699999999999996E-2</v>
      </c>
      <c r="I10" s="100">
        <v>3.8699999999999998E-2</v>
      </c>
      <c r="J10" s="100">
        <v>1.7299999999999999E-2</v>
      </c>
    </row>
    <row r="11" spans="1:10" x14ac:dyDescent="0.25">
      <c r="A11" s="53" t="s">
        <v>40</v>
      </c>
      <c r="B11" s="100">
        <v>441.5523851758</v>
      </c>
      <c r="C11" s="97">
        <v>620.7944701777285</v>
      </c>
      <c r="D11" s="100">
        <v>212.9204</v>
      </c>
      <c r="E11" s="100">
        <v>2428.9711025051997</v>
      </c>
      <c r="F11" s="100">
        <v>93.245938084100004</v>
      </c>
      <c r="G11" s="100">
        <v>754.54682170009994</v>
      </c>
      <c r="H11" s="100">
        <v>398.36899314330003</v>
      </c>
      <c r="I11" s="100">
        <v>386.69322523669996</v>
      </c>
      <c r="J11" s="100">
        <v>70.814810574700005</v>
      </c>
    </row>
    <row r="12" spans="1:10" s="7" customFormat="1" x14ac:dyDescent="0.25">
      <c r="A12" s="9" t="s">
        <v>41</v>
      </c>
      <c r="B12" s="45">
        <v>1.1344000000000001</v>
      </c>
      <c r="C12" s="97">
        <v>1.1101571428571426</v>
      </c>
      <c r="D12" s="45">
        <v>1.0973999999999999</v>
      </c>
      <c r="E12" s="45">
        <v>1.5166999999999999</v>
      </c>
      <c r="F12" s="45">
        <v>0.54390000000000005</v>
      </c>
      <c r="G12" s="45">
        <v>1.0744</v>
      </c>
      <c r="H12" s="45">
        <v>0.98290000000000011</v>
      </c>
      <c r="I12" s="45">
        <v>1.3413999999999999</v>
      </c>
      <c r="J12" s="45">
        <v>1.2143999999999999</v>
      </c>
    </row>
    <row r="13" spans="1:10" s="7" customFormat="1" x14ac:dyDescent="0.25">
      <c r="A13" s="9" t="s">
        <v>42</v>
      </c>
      <c r="B13" s="45">
        <v>0.22089900000000001</v>
      </c>
      <c r="C13" s="97">
        <v>0.35397914285714283</v>
      </c>
      <c r="D13" s="45">
        <v>0.28539399999999998</v>
      </c>
      <c r="E13" s="45">
        <v>0.34095599999999998</v>
      </c>
      <c r="F13" s="45">
        <v>0.49803500000000001</v>
      </c>
      <c r="G13" s="45">
        <v>0.37658799999999998</v>
      </c>
      <c r="H13" s="45">
        <v>0.30884600000000001</v>
      </c>
      <c r="I13" s="45">
        <v>0.33780500000000002</v>
      </c>
      <c r="J13" s="45">
        <v>0.33023000000000002</v>
      </c>
    </row>
    <row r="14" spans="1:10" s="7" customFormat="1" x14ac:dyDescent="0.25">
      <c r="A14" s="9" t="s">
        <v>43</v>
      </c>
      <c r="B14" s="101">
        <v>34.580323993699999</v>
      </c>
      <c r="C14" s="97">
        <v>102.69992559557144</v>
      </c>
      <c r="D14" s="101">
        <v>27.967970000000001</v>
      </c>
      <c r="E14" s="101">
        <v>372.08387330070002</v>
      </c>
      <c r="F14" s="101">
        <v>36.754599237299999</v>
      </c>
      <c r="G14" s="101">
        <v>150.0936119781</v>
      </c>
      <c r="H14" s="101">
        <v>80.963795070499998</v>
      </c>
      <c r="I14" s="101">
        <v>42.398366168599999</v>
      </c>
      <c r="J14" s="101">
        <v>8.6372634137999995</v>
      </c>
    </row>
    <row r="15" spans="1:10" x14ac:dyDescent="0.25">
      <c r="A15" s="53" t="s">
        <v>45</v>
      </c>
      <c r="B15" s="44">
        <v>5.0900000000000001E-2</v>
      </c>
      <c r="C15" s="97">
        <v>0.14086971428571429</v>
      </c>
      <c r="D15" s="44">
        <v>0.11234400000000001</v>
      </c>
      <c r="E15" s="44">
        <v>0.22795200000000002</v>
      </c>
      <c r="F15" s="44">
        <v>0.22375100000000001</v>
      </c>
      <c r="G15" s="44">
        <v>0.19584099999999999</v>
      </c>
      <c r="H15" s="44">
        <v>0.10878199999999999</v>
      </c>
      <c r="I15" s="44">
        <v>0.10141700000000001</v>
      </c>
      <c r="J15" s="44">
        <v>1.6001000000000001E-2</v>
      </c>
    </row>
    <row r="16" spans="1:10" s="7" customFormat="1" ht="25.8" customHeight="1" x14ac:dyDescent="0.25">
      <c r="A16" s="9" t="s">
        <v>46</v>
      </c>
      <c r="B16" s="101">
        <v>104.48464667260001</v>
      </c>
      <c r="C16" s="97">
        <v>87.929683832885715</v>
      </c>
      <c r="D16" s="101">
        <v>44.537889999999997</v>
      </c>
      <c r="E16" s="101">
        <v>823.22834216499996</v>
      </c>
      <c r="F16" s="101">
        <v>-53.581643983399999</v>
      </c>
      <c r="G16" s="101">
        <v>-47.086861255699993</v>
      </c>
      <c r="H16" s="101">
        <v>66.116701748200001</v>
      </c>
      <c r="I16" s="101">
        <v>-183.47661514979998</v>
      </c>
      <c r="J16" s="101">
        <v>-34.230026694099998</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9" t="s">
        <v>236</v>
      </c>
      <c r="B1" s="124"/>
      <c r="C1" s="124"/>
      <c r="D1" s="124"/>
      <c r="E1" s="124"/>
      <c r="F1" s="124"/>
    </row>
    <row r="2" spans="1:6" x14ac:dyDescent="0.25">
      <c r="A2" s="51" t="s">
        <v>237</v>
      </c>
      <c r="B2" s="50" t="s">
        <v>238</v>
      </c>
      <c r="C2" s="50" t="s">
        <v>239</v>
      </c>
      <c r="D2" s="50" t="s">
        <v>240</v>
      </c>
      <c r="E2" s="50" t="s">
        <v>215</v>
      </c>
      <c r="F2" s="50" t="s">
        <v>241</v>
      </c>
    </row>
    <row r="3" spans="1:6" ht="48" customHeight="1" x14ac:dyDescent="0.25">
      <c r="A3" s="103">
        <v>43535</v>
      </c>
      <c r="B3" s="52" t="s">
        <v>242</v>
      </c>
      <c r="C3" s="104" t="s">
        <v>243</v>
      </c>
      <c r="D3" s="104"/>
      <c r="E3" s="52" t="s">
        <v>244</v>
      </c>
      <c r="F3" s="104" t="s">
        <v>245</v>
      </c>
    </row>
    <row r="4" spans="1:6" ht="49.5" customHeight="1" x14ac:dyDescent="0.25">
      <c r="A4" s="103">
        <v>43515</v>
      </c>
      <c r="B4" s="52" t="s">
        <v>246</v>
      </c>
      <c r="C4" s="104" t="s">
        <v>247</v>
      </c>
      <c r="D4" s="104"/>
      <c r="E4" s="52" t="s">
        <v>248</v>
      </c>
      <c r="F4" s="104" t="s">
        <v>249</v>
      </c>
    </row>
    <row r="5" spans="1:6" ht="57" x14ac:dyDescent="0.25">
      <c r="A5" s="103">
        <v>43447</v>
      </c>
      <c r="B5" s="52" t="s">
        <v>250</v>
      </c>
      <c r="C5" s="104" t="s">
        <v>243</v>
      </c>
      <c r="D5" s="104"/>
      <c r="E5" s="52" t="s">
        <v>251</v>
      </c>
      <c r="F5" s="104" t="s">
        <v>252</v>
      </c>
    </row>
    <row r="6" spans="1:6" x14ac:dyDescent="0.25">
      <c r="A6" s="103">
        <v>43363</v>
      </c>
      <c r="B6" s="52" t="s">
        <v>253</v>
      </c>
      <c r="C6" s="104"/>
      <c r="D6" s="104" t="s">
        <v>254</v>
      </c>
      <c r="E6" s="52" t="s">
        <v>255</v>
      </c>
      <c r="F6" s="104"/>
    </row>
    <row r="7" spans="1:6" x14ac:dyDescent="0.25">
      <c r="A7" s="103">
        <v>43311</v>
      </c>
      <c r="B7" s="52" t="s">
        <v>256</v>
      </c>
      <c r="C7" s="104"/>
      <c r="D7" s="104" t="s">
        <v>257</v>
      </c>
      <c r="E7" s="52" t="s">
        <v>258</v>
      </c>
      <c r="F7" s="104" t="s">
        <v>259</v>
      </c>
    </row>
    <row r="8" spans="1:6" ht="57" x14ac:dyDescent="0.25">
      <c r="A8" s="103">
        <v>43298</v>
      </c>
      <c r="B8" s="52" t="s">
        <v>260</v>
      </c>
      <c r="C8" s="104" t="s">
        <v>247</v>
      </c>
      <c r="D8" s="104"/>
      <c r="E8" s="52" t="s">
        <v>258</v>
      </c>
      <c r="F8" s="104" t="s">
        <v>261</v>
      </c>
    </row>
    <row r="9" spans="1:6" ht="45.6" x14ac:dyDescent="0.25">
      <c r="A9" s="103">
        <v>43276</v>
      </c>
      <c r="B9" s="52" t="s">
        <v>262</v>
      </c>
      <c r="C9" s="104" t="s">
        <v>247</v>
      </c>
      <c r="D9" s="104"/>
      <c r="E9" s="52" t="s">
        <v>263</v>
      </c>
      <c r="F9" s="104" t="s">
        <v>264</v>
      </c>
    </row>
    <row r="10" spans="1:6" ht="45.6" x14ac:dyDescent="0.25">
      <c r="A10" s="103">
        <v>43276</v>
      </c>
      <c r="B10" s="52" t="s">
        <v>265</v>
      </c>
      <c r="C10" s="104" t="s">
        <v>243</v>
      </c>
      <c r="D10" s="104"/>
      <c r="E10" s="52" t="s">
        <v>248</v>
      </c>
      <c r="F10" s="104" t="s">
        <v>266</v>
      </c>
    </row>
    <row r="11" spans="1:6" ht="57" x14ac:dyDescent="0.25">
      <c r="A11" s="103">
        <v>43266</v>
      </c>
      <c r="B11" s="52" t="s">
        <v>267</v>
      </c>
      <c r="C11" s="104" t="s">
        <v>243</v>
      </c>
      <c r="D11" s="104"/>
      <c r="E11" s="52" t="s">
        <v>248</v>
      </c>
      <c r="F11" s="104" t="s">
        <v>268</v>
      </c>
    </row>
    <row r="12" spans="1:6" x14ac:dyDescent="0.25">
      <c r="A12" s="105">
        <v>43265</v>
      </c>
      <c r="B12" t="s">
        <v>269</v>
      </c>
      <c r="C12" s="106" t="s">
        <v>243</v>
      </c>
      <c r="D12" s="106"/>
      <c r="E12" t="s">
        <v>263</v>
      </c>
      <c r="F12" s="106"/>
    </row>
    <row r="13" spans="1:6" x14ac:dyDescent="0.25">
      <c r="A13" s="105">
        <v>43264</v>
      </c>
      <c r="B13" t="s">
        <v>270</v>
      </c>
      <c r="C13" s="106" t="s">
        <v>243</v>
      </c>
      <c r="D13" s="106"/>
      <c r="E13" t="s">
        <v>248</v>
      </c>
      <c r="F13" s="106" t="s">
        <v>271</v>
      </c>
    </row>
    <row r="14" spans="1:6" x14ac:dyDescent="0.25">
      <c r="A14" s="105">
        <v>43245</v>
      </c>
      <c r="B14" t="s">
        <v>272</v>
      </c>
      <c r="C14" s="106" t="s">
        <v>243</v>
      </c>
      <c r="D14" s="106"/>
      <c r="E14" t="s">
        <v>248</v>
      </c>
      <c r="F14" s="106"/>
    </row>
    <row r="15" spans="1:6" ht="27" customHeight="1" x14ac:dyDescent="0.25"/>
    <row r="16" spans="1:6" ht="27" customHeight="1" x14ac:dyDescent="0.25"/>
    <row r="30" spans="1:6" x14ac:dyDescent="0.25">
      <c r="A30" s="143" t="s">
        <v>273</v>
      </c>
      <c r="B30" s="143"/>
      <c r="C30" s="143"/>
      <c r="D30" s="143"/>
      <c r="E30" s="143"/>
      <c r="F30" s="143"/>
    </row>
    <row r="31" spans="1:6" x14ac:dyDescent="0.25">
      <c r="A31" s="83" t="s">
        <v>237</v>
      </c>
      <c r="B31" s="83" t="s">
        <v>238</v>
      </c>
      <c r="C31" s="83" t="s">
        <v>274</v>
      </c>
      <c r="D31" s="83" t="s">
        <v>275</v>
      </c>
      <c r="E31" s="83" t="s">
        <v>215</v>
      </c>
      <c r="F31" s="83" t="s">
        <v>241</v>
      </c>
    </row>
    <row r="32" spans="1:6" x14ac:dyDescent="0.25">
      <c r="A32" s="107">
        <v>43537</v>
      </c>
      <c r="B32" s="57" t="s">
        <v>276</v>
      </c>
      <c r="C32" s="108" t="s">
        <v>277</v>
      </c>
      <c r="D32" s="108"/>
      <c r="E32" s="57" t="s">
        <v>263</v>
      </c>
      <c r="F32" s="108"/>
    </row>
    <row r="33" spans="1:6" x14ac:dyDescent="0.25">
      <c r="A33" s="107">
        <v>43497</v>
      </c>
      <c r="B33" s="57" t="s">
        <v>278</v>
      </c>
      <c r="C33" s="108" t="s">
        <v>279</v>
      </c>
      <c r="D33" s="108"/>
      <c r="E33" s="57" t="s">
        <v>263</v>
      </c>
      <c r="F33" s="108" t="s">
        <v>280</v>
      </c>
    </row>
    <row r="34" spans="1:6" x14ac:dyDescent="0.25">
      <c r="A34" s="107">
        <v>43459</v>
      </c>
      <c r="B34" s="57" t="s">
        <v>281</v>
      </c>
      <c r="C34" s="108" t="s">
        <v>282</v>
      </c>
      <c r="D34" s="108"/>
      <c r="E34" s="57" t="s">
        <v>283</v>
      </c>
      <c r="F34" s="108"/>
    </row>
    <row r="35" spans="1:6" x14ac:dyDescent="0.25">
      <c r="A35" s="107">
        <v>43458</v>
      </c>
      <c r="B35" s="57" t="s">
        <v>284</v>
      </c>
      <c r="C35" s="108" t="s">
        <v>285</v>
      </c>
      <c r="D35" s="108"/>
      <c r="E35" s="57" t="s">
        <v>248</v>
      </c>
      <c r="F35" s="108" t="s">
        <v>286</v>
      </c>
    </row>
    <row r="36" spans="1:6" x14ac:dyDescent="0.25">
      <c r="A36" s="107">
        <v>43385</v>
      </c>
      <c r="B36" s="57" t="s">
        <v>287</v>
      </c>
      <c r="C36" s="108" t="s">
        <v>288</v>
      </c>
      <c r="D36" s="108"/>
      <c r="E36" s="57" t="s">
        <v>263</v>
      </c>
      <c r="F36" s="108" t="s">
        <v>289</v>
      </c>
    </row>
    <row r="37" spans="1:6" x14ac:dyDescent="0.25">
      <c r="A37" s="107">
        <v>43307</v>
      </c>
      <c r="B37" s="57" t="s">
        <v>290</v>
      </c>
      <c r="C37" s="108"/>
      <c r="D37" s="108" t="s">
        <v>291</v>
      </c>
      <c r="E37" s="57"/>
      <c r="F37" s="108" t="s">
        <v>292</v>
      </c>
    </row>
    <row r="38" spans="1:6" x14ac:dyDescent="0.25">
      <c r="A38" s="107">
        <v>43266</v>
      </c>
      <c r="B38" s="57" t="s">
        <v>293</v>
      </c>
      <c r="C38" s="108" t="s">
        <v>294</v>
      </c>
      <c r="D38" s="108"/>
      <c r="E38" s="57" t="s">
        <v>295</v>
      </c>
      <c r="F38" s="108"/>
    </row>
    <row r="39" spans="1:6" x14ac:dyDescent="0.25">
      <c r="A39" s="107">
        <v>43249</v>
      </c>
      <c r="B39" s="57" t="s">
        <v>296</v>
      </c>
      <c r="C39" s="108" t="s">
        <v>297</v>
      </c>
      <c r="D39" s="108"/>
      <c r="E39" s="57" t="s">
        <v>283</v>
      </c>
      <c r="F39" s="108" t="s">
        <v>298</v>
      </c>
    </row>
    <row r="40" spans="1:6" x14ac:dyDescent="0.25">
      <c r="A40" s="107">
        <v>43224</v>
      </c>
      <c r="B40" s="57" t="s">
        <v>299</v>
      </c>
      <c r="C40" s="108" t="s">
        <v>300</v>
      </c>
      <c r="D40" s="108"/>
      <c r="E40" s="57" t="s">
        <v>255</v>
      </c>
      <c r="F40" s="108" t="s">
        <v>301</v>
      </c>
    </row>
  </sheetData>
  <mergeCells count="2">
    <mergeCell ref="A1:F1"/>
    <mergeCell ref="A30:F30"/>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9" customWidth="1"/>
    <col min="17" max="17" width="12" style="55" customWidth="1"/>
    <col min="18" max="18" width="10.44140625" style="55" customWidth="1"/>
  </cols>
  <sheetData>
    <row r="1" spans="1:18" x14ac:dyDescent="0.25">
      <c r="A1" s="150" t="s">
        <v>302</v>
      </c>
      <c r="B1" s="124"/>
      <c r="C1" s="124"/>
      <c r="D1" s="124"/>
      <c r="E1" s="124"/>
      <c r="F1" s="124"/>
      <c r="G1" s="124"/>
      <c r="H1" s="124"/>
      <c r="I1" s="124"/>
      <c r="J1" s="124"/>
      <c r="K1" s="124"/>
      <c r="L1" s="124"/>
      <c r="M1" s="124"/>
      <c r="N1" s="124"/>
    </row>
    <row r="2" spans="1:18" s="1" customFormat="1" ht="25.5" customHeight="1" x14ac:dyDescent="0.25">
      <c r="A2" s="54" t="s">
        <v>303</v>
      </c>
      <c r="B2" s="54" t="s">
        <v>304</v>
      </c>
      <c r="C2" s="54" t="s">
        <v>305</v>
      </c>
      <c r="D2" s="54" t="s">
        <v>306</v>
      </c>
      <c r="E2" s="54" t="s">
        <v>307</v>
      </c>
      <c r="F2" s="54" t="s">
        <v>308</v>
      </c>
      <c r="G2" s="54" t="s">
        <v>309</v>
      </c>
      <c r="H2" s="54" t="s">
        <v>16</v>
      </c>
      <c r="I2" s="54" t="s">
        <v>310</v>
      </c>
      <c r="J2" s="54" t="s">
        <v>311</v>
      </c>
      <c r="K2" s="54" t="s">
        <v>312</v>
      </c>
      <c r="L2" s="54" t="s">
        <v>313</v>
      </c>
      <c r="M2" s="54" t="s">
        <v>19</v>
      </c>
      <c r="N2" s="54" t="s">
        <v>314</v>
      </c>
      <c r="O2" s="3"/>
      <c r="P2" s="110" t="str">
        <f ca="1">Q2</f>
        <v>2019-04-17</v>
      </c>
      <c r="Q2" s="1" t="str">
        <f ca="1">[1]!td(R2-1)</f>
        <v>2019-04-17</v>
      </c>
      <c r="R2" s="3">
        <f ca="1">TODAY()</f>
        <v>43573</v>
      </c>
    </row>
    <row r="3" spans="1:18" ht="15.75" customHeight="1" x14ac:dyDescent="0.25">
      <c r="A3" s="111" t="str">
        <f>[1]!b_info_name(L3)</f>
        <v>19华发集团MTN003</v>
      </c>
      <c r="B3" s="2" t="str">
        <f>[1]!b_issue_firstissue(L3)</f>
        <v>2019-04-19</v>
      </c>
      <c r="C3" s="111">
        <f>[1]!b_info_term(L3)</f>
        <v>5</v>
      </c>
      <c r="D3" s="112" t="str">
        <f>[1]!issuerrating(L3)</f>
        <v>AAA</v>
      </c>
      <c r="E3" s="112" t="str">
        <f>[1]!b_info_creditrating(L3)</f>
        <v>AAA</v>
      </c>
      <c r="F3" s="111" t="str">
        <f>[1]!b_rate_creditratingagency(L3)</f>
        <v>联合资信评估有限公司</v>
      </c>
      <c r="G3" s="113">
        <f>[1]!b_agency_guarantor(L3)</f>
        <v>0</v>
      </c>
      <c r="H3" s="114" t="s">
        <v>315</v>
      </c>
      <c r="I3" s="65"/>
      <c r="J3" s="115" t="s">
        <v>315</v>
      </c>
      <c r="K3" s="116"/>
      <c r="L3" s="41" t="str">
        <f>公式页!A2</f>
        <v>q19041711.IB</v>
      </c>
      <c r="M3" s="114" t="s">
        <v>315</v>
      </c>
      <c r="N3" s="111" t="str">
        <f>[1]!b_agency_leadunderwriter(L3)</f>
        <v>中国工商银行股份有限公司,中信银行股份有限公司</v>
      </c>
      <c r="P3" s="109" t="str">
        <f t="shared" ref="P3:P29" ca="1" si="0">$P$2</f>
        <v>2019-04-17</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5"/>
      <c r="J4" s="115">
        <f ca="1">[1]!b_anal_yield_cnbd(L4,P2,1)</f>
        <v>3.7271000000000001</v>
      </c>
      <c r="K4" s="116">
        <f>K3</f>
        <v>0</v>
      </c>
      <c r="L4" s="4" t="s">
        <v>316</v>
      </c>
      <c r="M4" s="114">
        <f>[1]!b_info_issueamount(L4)/100000000</f>
        <v>5</v>
      </c>
      <c r="N4" s="111" t="str">
        <f>[1]!b_agency_leadunderwriter(L4)</f>
        <v>上海浦东发展银行股份有限公司,中国国际金融股份有限公司</v>
      </c>
      <c r="P4" s="109" t="str">
        <f t="shared" ca="1" si="0"/>
        <v>2019-04-17</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5"/>
      <c r="J5" s="115">
        <f ca="1">[1]!b_anal_yield_cnbd(L5,P3,1)</f>
        <v>0</v>
      </c>
      <c r="K5" s="116">
        <f>K3</f>
        <v>0</v>
      </c>
      <c r="L5" s="5"/>
      <c r="M5" s="114">
        <f>[1]!b_info_issueamount(L5)/100000000</f>
        <v>0</v>
      </c>
      <c r="N5" s="111">
        <f>[1]!b_agency_leadunderwriter(L5)</f>
        <v>0</v>
      </c>
      <c r="P5" s="109" t="str">
        <f t="shared" ca="1" si="0"/>
        <v>2019-04-17</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5"/>
      <c r="J6" s="115">
        <f ca="1">[1]!b_anal_yield_cnbd(L6,P4,1)</f>
        <v>0</v>
      </c>
      <c r="K6" s="116">
        <f>K3</f>
        <v>0</v>
      </c>
      <c r="L6" s="5"/>
      <c r="M6" s="114">
        <f>[1]!b_info_issueamount(L6)/100000000</f>
        <v>0</v>
      </c>
      <c r="N6" s="111">
        <f>[1]!b_agency_leadunderwriter(L6)</f>
        <v>0</v>
      </c>
      <c r="P6" s="109" t="str">
        <f t="shared" ca="1" si="0"/>
        <v>2019-04-17</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5"/>
      <c r="J7" s="115">
        <f ca="1">[1]!b_anal_yield_cnbd(L7,P5,1)</f>
        <v>0</v>
      </c>
      <c r="K7" s="116">
        <f>K3</f>
        <v>0</v>
      </c>
      <c r="L7" s="5"/>
      <c r="M7" s="114">
        <f>[1]!b_info_issueamount(L7)/100000000</f>
        <v>0</v>
      </c>
      <c r="N7" s="111">
        <f>[1]!b_agency_leadunderwriter(L7)</f>
        <v>0</v>
      </c>
      <c r="P7" s="109" t="str">
        <f t="shared" ca="1" si="0"/>
        <v>2019-04-17</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5"/>
      <c r="J8" s="115">
        <f ca="1">[1]!b_anal_yield_cnbd(L8,P6,1)</f>
        <v>0</v>
      </c>
      <c r="K8" s="116">
        <f>K3</f>
        <v>0</v>
      </c>
      <c r="L8" s="5"/>
      <c r="M8" s="114">
        <f>[1]!b_info_issueamount(L8)/100000000</f>
        <v>0</v>
      </c>
      <c r="N8" s="111">
        <f>[1]!b_agency_leadunderwriter(L8)</f>
        <v>0</v>
      </c>
      <c r="P8" s="109" t="str">
        <f t="shared" ca="1" si="0"/>
        <v>2019-04-17</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5"/>
      <c r="J9" s="115">
        <f ca="1">[1]!b_anal_yield_cnbd(L9,P7,1)</f>
        <v>0</v>
      </c>
      <c r="K9" s="116">
        <f>K3</f>
        <v>0</v>
      </c>
      <c r="L9" s="5"/>
      <c r="M9" s="114">
        <f>[1]!b_info_issueamount(L9)/100000000</f>
        <v>0</v>
      </c>
      <c r="N9" s="111">
        <f>[1]!b_agency_leadunderwriter(L9)</f>
        <v>0</v>
      </c>
      <c r="P9" s="109" t="str">
        <f t="shared" ca="1" si="0"/>
        <v>2019-04-17</v>
      </c>
    </row>
    <row r="10" spans="1:18" x14ac:dyDescent="0.25">
      <c r="P10" s="109" t="str">
        <f t="shared" ca="1" si="0"/>
        <v>2019-04-17</v>
      </c>
    </row>
    <row r="11" spans="1:18" x14ac:dyDescent="0.25">
      <c r="P11" s="109" t="str">
        <f t="shared" ca="1" si="0"/>
        <v>2019-04-17</v>
      </c>
    </row>
    <row r="12" spans="1:18" x14ac:dyDescent="0.25">
      <c r="A12" s="150" t="s">
        <v>317</v>
      </c>
      <c r="B12" s="124"/>
      <c r="C12" s="124"/>
      <c r="D12" s="124"/>
      <c r="E12" s="124"/>
      <c r="F12" s="124"/>
      <c r="G12" s="124"/>
      <c r="H12" s="124"/>
      <c r="I12" s="124"/>
      <c r="J12" s="124"/>
      <c r="K12" s="124"/>
      <c r="L12" s="124"/>
      <c r="M12" s="124"/>
      <c r="N12" s="124"/>
      <c r="P12" s="109" t="str">
        <f t="shared" ca="1" si="0"/>
        <v>2019-04-17</v>
      </c>
    </row>
    <row r="13" spans="1:18" s="1" customFormat="1" ht="43.2" customHeight="1" x14ac:dyDescent="0.25">
      <c r="A13" s="54" t="s">
        <v>303</v>
      </c>
      <c r="B13" s="54" t="s">
        <v>304</v>
      </c>
      <c r="C13" s="54" t="s">
        <v>305</v>
      </c>
      <c r="D13" s="54" t="s">
        <v>306</v>
      </c>
      <c r="E13" s="54" t="s">
        <v>307</v>
      </c>
      <c r="F13" s="54" t="s">
        <v>308</v>
      </c>
      <c r="G13" s="54" t="s">
        <v>309</v>
      </c>
      <c r="H13" s="54" t="s">
        <v>16</v>
      </c>
      <c r="I13" s="54" t="s">
        <v>310</v>
      </c>
      <c r="J13" s="54" t="s">
        <v>311</v>
      </c>
      <c r="K13" s="54" t="s">
        <v>312</v>
      </c>
      <c r="L13" s="54" t="s">
        <v>313</v>
      </c>
      <c r="M13" s="54" t="s">
        <v>19</v>
      </c>
      <c r="N13" s="54" t="s">
        <v>314</v>
      </c>
      <c r="P13" s="109" t="str">
        <f t="shared" ca="1" si="0"/>
        <v>2019-04-17</v>
      </c>
    </row>
    <row r="14" spans="1:18" ht="15.75" customHeight="1" x14ac:dyDescent="0.25">
      <c r="A14" s="111" t="str">
        <f>[1]!b_info_name(L14)</f>
        <v>19华发集团MTN003</v>
      </c>
      <c r="B14" s="2" t="str">
        <f>[1]!b_issue_firstissue(L14)</f>
        <v>2019-04-19</v>
      </c>
      <c r="C14" s="111">
        <f>[1]!b_info_term(L14)</f>
        <v>5</v>
      </c>
      <c r="D14" s="112" t="str">
        <f>[1]!issuerrating(L14)</f>
        <v>AAA</v>
      </c>
      <c r="E14" s="112" t="str">
        <f>[1]!b_info_creditrating(L14)</f>
        <v>AAA</v>
      </c>
      <c r="F14" s="111" t="str">
        <f>[1]!b_rate_creditratingagency(L14)</f>
        <v>联合资信评估有限公司</v>
      </c>
      <c r="G14" s="113">
        <f>[1]!b_agency_guarantor(L14)</f>
        <v>0</v>
      </c>
      <c r="H14" s="114" t="s">
        <v>315</v>
      </c>
      <c r="I14" s="65"/>
      <c r="J14" s="115" t="s">
        <v>315</v>
      </c>
      <c r="K14" s="116">
        <f>K3</f>
        <v>0</v>
      </c>
      <c r="L14" s="42" t="str">
        <f>L3</f>
        <v>q19041711.IB</v>
      </c>
      <c r="M14" s="114" t="s">
        <v>315</v>
      </c>
      <c r="N14" s="111" t="str">
        <f>[1]!b_agency_leadunderwriter(L14)</f>
        <v>中国工商银行股份有限公司,中信银行股份有限公司</v>
      </c>
      <c r="P14" s="109" t="str">
        <f t="shared" ca="1" si="0"/>
        <v>2019-04-17</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5"/>
      <c r="J15" s="115">
        <f ca="1">[1]!b_anal_yield_cnbd(L15,P13,1)</f>
        <v>0</v>
      </c>
      <c r="K15" s="116"/>
      <c r="L15" s="6" t="s">
        <v>318</v>
      </c>
      <c r="M15" s="114">
        <f>[1]!b_info_issueamount(L15)/100000000</f>
        <v>5</v>
      </c>
      <c r="N15" s="111" t="str">
        <f>[1]!b_agency_leadunderwriter(L15)</f>
        <v>招商银行股份有限公司</v>
      </c>
      <c r="O15" t="str">
        <f>[1]!b_issuer_windindustry(L15,4)</f>
        <v>西药</v>
      </c>
      <c r="P15" s="109" t="str">
        <f t="shared" ca="1" si="0"/>
        <v>2019-04-17</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5"/>
      <c r="J16" s="115">
        <f ca="1">[1]!b_anal_yield_cnbd(L16,P14,1)</f>
        <v>0</v>
      </c>
      <c r="K16" s="116"/>
      <c r="L16" s="6" t="s">
        <v>319</v>
      </c>
      <c r="M16" s="114">
        <f>[1]!b_info_issueamount(L16)/100000000</f>
        <v>6</v>
      </c>
      <c r="N16" s="111" t="str">
        <f>[1]!b_agency_leadunderwriter(L16)</f>
        <v>北京银行股份有限公司</v>
      </c>
      <c r="O16" t="str">
        <f>[1]!b_issuer_windindustry(L16,4)</f>
        <v>化肥与农用化工</v>
      </c>
      <c r="P16" s="109" t="str">
        <f t="shared" ca="1" si="0"/>
        <v>2019-04-17</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5"/>
      <c r="J17" s="115">
        <f ca="1">[1]!b_anal_yield_cnbd(L17,P15,1)</f>
        <v>0</v>
      </c>
      <c r="K17" s="116"/>
      <c r="L17" s="6" t="s">
        <v>320</v>
      </c>
      <c r="M17" s="114">
        <f>[1]!b_info_issueamount(L17)/100000000</f>
        <v>3.5</v>
      </c>
      <c r="N17" s="111" t="str">
        <f>[1]!b_agency_leadunderwriter(L17)</f>
        <v>华夏银行股份有限公司</v>
      </c>
      <c r="O17" t="str">
        <f>[1]!b_issuer_windindustry(L17,4)</f>
        <v>食品加工与肉类</v>
      </c>
      <c r="P17" s="109" t="str">
        <f t="shared" ca="1" si="0"/>
        <v>2019-04-17</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5"/>
      <c r="J18" s="115">
        <f ca="1">[1]!b_anal_yield_cnbd(L18,P16,1)</f>
        <v>0</v>
      </c>
      <c r="K18" s="116"/>
      <c r="L18" s="6" t="s">
        <v>321</v>
      </c>
      <c r="M18" s="114">
        <f>[1]!b_info_issueamount(L18)/100000000</f>
        <v>3</v>
      </c>
      <c r="N18" s="111" t="str">
        <f>[1]!b_agency_leadunderwriter(L18)</f>
        <v>兴业银行股份有限公司</v>
      </c>
      <c r="O18" t="str">
        <f>[1]!b_issuer_windindustry(L18,4)</f>
        <v>工业机械</v>
      </c>
      <c r="P18" s="109" t="str">
        <f t="shared" ca="1" si="0"/>
        <v>2019-04-17</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5"/>
      <c r="J19" s="115">
        <f ca="1">[1]!b_anal_yield_cnbd(L19,P17,1)</f>
        <v>0</v>
      </c>
      <c r="K19" s="116"/>
      <c r="L19" s="6" t="s">
        <v>322</v>
      </c>
      <c r="M19" s="114">
        <f>[1]!b_info_issueamount(L19)/100000000</f>
        <v>3</v>
      </c>
      <c r="N19" s="111" t="str">
        <f>[1]!b_agency_leadunderwriter(L19)</f>
        <v>中国银行股份有限公司</v>
      </c>
      <c r="O19" t="str">
        <f>[1]!b_issuer_windindustry(L19,4)</f>
        <v>半导体产品</v>
      </c>
      <c r="P19" s="109" t="str">
        <f t="shared" ca="1" si="0"/>
        <v>2019-04-17</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5"/>
      <c r="J20" s="115">
        <f ca="1">[1]!b_anal_yield_cnbd(L20,P18,1)</f>
        <v>0</v>
      </c>
      <c r="K20" s="116"/>
      <c r="L20" s="6" t="s">
        <v>323</v>
      </c>
      <c r="M20" s="114">
        <f>[1]!b_info_issueamount(L20)/100000000</f>
        <v>5</v>
      </c>
      <c r="N20" s="111" t="str">
        <f>[1]!b_agency_leadunderwriter(L20)</f>
        <v>中国银行股份有限公司</v>
      </c>
      <c r="O20" t="str">
        <f>[1]!b_issuer_windindustry(L20,4)</f>
        <v>医疗保健用品</v>
      </c>
      <c r="P20" s="109" t="str">
        <f t="shared" ca="1" si="0"/>
        <v>2019-04-17</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5"/>
      <c r="J21" s="115">
        <f ca="1">[1]!b_anal_yield_cnbd(L21,P19,1)</f>
        <v>0</v>
      </c>
      <c r="K21" s="116"/>
      <c r="L21" s="6" t="s">
        <v>324</v>
      </c>
      <c r="M21" s="114">
        <f>[1]!b_info_issueamount(L21)/100000000</f>
        <v>2</v>
      </c>
      <c r="N21" s="111" t="str">
        <f>[1]!b_agency_leadunderwriter(L21)</f>
        <v>中国银行股份有限公司</v>
      </c>
      <c r="O21" t="str">
        <f>[1]!b_issuer_windindustry(L21,4)</f>
        <v>食品加工与肉类</v>
      </c>
      <c r="P21" s="109" t="str">
        <f t="shared" ca="1" si="0"/>
        <v>2019-04-17</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5"/>
      <c r="J22" s="115">
        <f ca="1">[1]!b_anal_yield_cnbd(L22,P20,1)</f>
        <v>0</v>
      </c>
      <c r="K22" s="116"/>
      <c r="L22" s="6" t="s">
        <v>325</v>
      </c>
      <c r="M22" s="114">
        <f>[1]!b_info_issueamount(L22)/100000000</f>
        <v>4</v>
      </c>
      <c r="N22" s="111" t="str">
        <f>[1]!b_agency_leadunderwriter(L22)</f>
        <v>中国工商银行股份有限公司</v>
      </c>
      <c r="O22" t="str">
        <f>[1]!b_issuer_windindustry(L22,4)</f>
        <v>酒店、度假村与豪华游轮</v>
      </c>
      <c r="P22" s="109" t="str">
        <f t="shared" ca="1" si="0"/>
        <v>2019-04-17</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5"/>
      <c r="J23" s="115">
        <f ca="1">[1]!b_anal_yield_cnbd(L23,P21,1)</f>
        <v>0</v>
      </c>
      <c r="K23" s="116"/>
      <c r="L23" s="6" t="s">
        <v>326</v>
      </c>
      <c r="M23" s="114">
        <f>[1]!b_info_issueamount(L23)/100000000</f>
        <v>4</v>
      </c>
      <c r="N23" s="111" t="str">
        <f>[1]!b_agency_leadunderwriter(L23)</f>
        <v>中国银行股份有限公司</v>
      </c>
      <c r="O23" t="str">
        <f>[1]!b_issuer_windindustry(L23,4)</f>
        <v>金属非金属</v>
      </c>
      <c r="P23" s="109" t="str">
        <f t="shared" ca="1" si="0"/>
        <v>2019-04-17</v>
      </c>
    </row>
    <row r="24" spans="1:16" x14ac:dyDescent="0.25">
      <c r="P24" s="109" t="str">
        <f t="shared" ca="1" si="0"/>
        <v>2019-04-17</v>
      </c>
    </row>
    <row r="25" spans="1:16" x14ac:dyDescent="0.25">
      <c r="P25" s="109" t="str">
        <f t="shared" ca="1" si="0"/>
        <v>2019-04-17</v>
      </c>
    </row>
    <row r="26" spans="1:16" x14ac:dyDescent="0.25">
      <c r="P26" s="109" t="str">
        <f t="shared" ca="1" si="0"/>
        <v>2019-04-17</v>
      </c>
    </row>
    <row r="27" spans="1:16" x14ac:dyDescent="0.25">
      <c r="P27" s="109" t="str">
        <f t="shared" ca="1" si="0"/>
        <v>2019-04-17</v>
      </c>
    </row>
    <row r="28" spans="1:16" x14ac:dyDescent="0.25">
      <c r="P28" s="109" t="str">
        <f t="shared" ca="1" si="0"/>
        <v>2019-04-17</v>
      </c>
    </row>
    <row r="29" spans="1:16" x14ac:dyDescent="0.25">
      <c r="P29" s="109" t="str">
        <f t="shared" ca="1" si="0"/>
        <v>2019-04-17</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2019-04-18T07:42:34Z</dcterms:modified>
</cp:coreProperties>
</file>