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02D79B08-C06B-4001-A92A-EF55820CD8ED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M21" i="6"/>
  <c r="G20" i="6"/>
  <c r="D19" i="6"/>
  <c r="A18" i="6"/>
  <c r="N16" i="6"/>
  <c r="H15" i="6"/>
  <c r="G14" i="6"/>
  <c r="M6" i="6"/>
  <c r="D6" i="6"/>
  <c r="D5" i="6"/>
  <c r="A4" i="6"/>
  <c r="C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23" i="6"/>
  <c r="F21" i="6"/>
  <c r="C20" i="6"/>
  <c r="M17" i="6"/>
  <c r="G16" i="6"/>
  <c r="D15" i="6"/>
  <c r="C14" i="6"/>
  <c r="H9" i="6"/>
  <c r="F7" i="6"/>
  <c r="C6" i="6"/>
  <c r="A5" i="6"/>
  <c r="F4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H23" i="6"/>
  <c r="E22" i="6"/>
  <c r="B21" i="6"/>
  <c r="O19" i="6"/>
  <c r="F17" i="6"/>
  <c r="C16" i="6"/>
  <c r="D9" i="6"/>
  <c r="E8" i="6"/>
  <c r="B7" i="6"/>
  <c r="H6" i="6"/>
  <c r="H5" i="6"/>
  <c r="E4" i="6"/>
  <c r="G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D23" i="6"/>
  <c r="E18" i="6"/>
  <c r="N9" i="6"/>
  <c r="A8" i="6"/>
  <c r="G6" i="6"/>
  <c r="Q2" i="6"/>
  <c r="M137" i="1"/>
  <c r="O131" i="1"/>
  <c r="M128" i="1"/>
  <c r="M123" i="1"/>
  <c r="D112" i="1"/>
  <c r="N103" i="1"/>
  <c r="C102" i="1"/>
  <c r="L101" i="1"/>
  <c r="R100" i="1"/>
  <c r="G100" i="1"/>
  <c r="P99" i="1"/>
  <c r="G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A22" i="6"/>
  <c r="B17" i="6"/>
  <c r="N5" i="6"/>
  <c r="B4" i="6"/>
  <c r="O135" i="1"/>
  <c r="S130" i="1"/>
  <c r="O127" i="1"/>
  <c r="L103" i="1"/>
  <c r="R101" i="1"/>
  <c r="G101" i="1"/>
  <c r="P100" i="1"/>
  <c r="E100" i="1"/>
  <c r="N99" i="1"/>
  <c r="E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N20" i="6"/>
  <c r="O15" i="6"/>
  <c r="N6" i="6"/>
  <c r="M141" i="1"/>
  <c r="M134" i="1"/>
  <c r="S110" i="1"/>
  <c r="G102" i="1"/>
  <c r="P101" i="1"/>
  <c r="E101" i="1"/>
  <c r="N100" i="1"/>
  <c r="C100" i="1"/>
  <c r="L99" i="1"/>
  <c r="D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H19" i="6"/>
  <c r="M139" i="1"/>
  <c r="C101" i="1"/>
  <c r="C99" i="1"/>
  <c r="Q97" i="1"/>
  <c r="O96" i="1"/>
  <c r="B95" i="1"/>
  <c r="D92" i="1"/>
  <c r="F89" i="1"/>
  <c r="B87" i="1"/>
  <c r="D84" i="1"/>
  <c r="F81" i="1"/>
  <c r="B79" i="1"/>
  <c r="D76" i="1"/>
  <c r="F73" i="1"/>
  <c r="B71" i="1"/>
  <c r="D68" i="1"/>
  <c r="F65" i="1"/>
  <c r="B63" i="1"/>
  <c r="D60" i="1"/>
  <c r="F57" i="1"/>
  <c r="B55" i="1"/>
  <c r="D52" i="1"/>
  <c r="G50" i="1"/>
  <c r="G49" i="1"/>
  <c r="B49" i="1"/>
  <c r="C48" i="1"/>
  <c r="C47" i="1"/>
  <c r="D46" i="1"/>
  <c r="E45" i="1"/>
  <c r="E44" i="1"/>
  <c r="F43" i="1"/>
  <c r="G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J99" i="1"/>
  <c r="F79" i="1"/>
  <c r="F71" i="1"/>
  <c r="B61" i="1"/>
  <c r="B53" i="1"/>
  <c r="C49" i="1"/>
  <c r="E46" i="1"/>
  <c r="G43" i="1"/>
  <c r="D41" i="1"/>
  <c r="D39" i="1"/>
  <c r="D37" i="1"/>
  <c r="B36" i="1"/>
  <c r="B34" i="1"/>
  <c r="D31" i="1"/>
  <c r="B30" i="1"/>
  <c r="D29" i="1"/>
  <c r="M28" i="1"/>
  <c r="O27" i="1"/>
  <c r="Q26" i="1"/>
  <c r="O25" i="1"/>
  <c r="Q24" i="1"/>
  <c r="B24" i="1"/>
  <c r="D23" i="1"/>
  <c r="O21" i="1"/>
  <c r="Q20" i="1"/>
  <c r="B20" i="1"/>
  <c r="D19" i="1"/>
  <c r="F18" i="1"/>
  <c r="D17" i="1"/>
  <c r="P15" i="1"/>
  <c r="E15" i="1"/>
  <c r="G14" i="1"/>
  <c r="F8" i="1"/>
  <c r="S132" i="1"/>
  <c r="F113" i="1"/>
  <c r="P103" i="1"/>
  <c r="L100" i="1"/>
  <c r="O98" i="1"/>
  <c r="M97" i="1"/>
  <c r="J96" i="1"/>
  <c r="D94" i="1"/>
  <c r="F91" i="1"/>
  <c r="B89" i="1"/>
  <c r="D86" i="1"/>
  <c r="F83" i="1"/>
  <c r="B81" i="1"/>
  <c r="D78" i="1"/>
  <c r="F75" i="1"/>
  <c r="B73" i="1"/>
  <c r="D70" i="1"/>
  <c r="F67" i="1"/>
  <c r="B65" i="1"/>
  <c r="D62" i="1"/>
  <c r="F59" i="1"/>
  <c r="B57" i="1"/>
  <c r="D54" i="1"/>
  <c r="F51" i="1"/>
  <c r="E50" i="1"/>
  <c r="F49" i="1"/>
  <c r="G48" i="1"/>
  <c r="G47" i="1"/>
  <c r="B47" i="1"/>
  <c r="C46" i="1"/>
  <c r="C45" i="1"/>
  <c r="D44" i="1"/>
  <c r="E43" i="1"/>
  <c r="E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5" i="6"/>
  <c r="F95" i="1"/>
  <c r="D90" i="1"/>
  <c r="B85" i="1"/>
  <c r="D74" i="1"/>
  <c r="D66" i="1"/>
  <c r="D58" i="1"/>
  <c r="B51" i="1"/>
  <c r="D48" i="1"/>
  <c r="F45" i="1"/>
  <c r="B43" i="1"/>
  <c r="F40" i="1"/>
  <c r="F38" i="1"/>
  <c r="F36" i="1"/>
  <c r="F34" i="1"/>
  <c r="F32" i="1"/>
  <c r="F30" i="1"/>
  <c r="J29" i="1"/>
  <c r="F28" i="1"/>
  <c r="J27" i="1"/>
  <c r="F26" i="1"/>
  <c r="B26" i="1"/>
  <c r="D25" i="1"/>
  <c r="F24" i="1"/>
  <c r="J23" i="1"/>
  <c r="F22" i="1"/>
  <c r="J21" i="1"/>
  <c r="F20" i="1"/>
  <c r="O19" i="1"/>
  <c r="B18" i="1"/>
  <c r="J17" i="1"/>
  <c r="C16" i="1"/>
  <c r="C14" i="1"/>
  <c r="B6" i="1"/>
  <c r="B4" i="1"/>
  <c r="D3" i="6"/>
  <c r="D110" i="1"/>
  <c r="E102" i="1"/>
  <c r="R99" i="1"/>
  <c r="J98" i="1"/>
  <c r="F97" i="1"/>
  <c r="D96" i="1"/>
  <c r="F93" i="1"/>
  <c r="B91" i="1"/>
  <c r="D88" i="1"/>
  <c r="F85" i="1"/>
  <c r="B83" i="1"/>
  <c r="D80" i="1"/>
  <c r="F77" i="1"/>
  <c r="B75" i="1"/>
  <c r="D72" i="1"/>
  <c r="F69" i="1"/>
  <c r="B67" i="1"/>
  <c r="D64" i="1"/>
  <c r="F61" i="1"/>
  <c r="B59" i="1"/>
  <c r="D56" i="1"/>
  <c r="F53" i="1"/>
  <c r="C51" i="1"/>
  <c r="D50" i="1"/>
  <c r="E49" i="1"/>
  <c r="E48" i="1"/>
  <c r="F47" i="1"/>
  <c r="G46" i="1"/>
  <c r="G45" i="1"/>
  <c r="B45" i="1"/>
  <c r="C44" i="1"/>
  <c r="C43" i="1"/>
  <c r="D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N101" i="1"/>
  <c r="D98" i="1"/>
  <c r="B97" i="1"/>
  <c r="B93" i="1"/>
  <c r="F87" i="1"/>
  <c r="D82" i="1"/>
  <c r="B77" i="1"/>
  <c r="B69" i="1"/>
  <c r="F63" i="1"/>
  <c r="F55" i="1"/>
  <c r="C50" i="1"/>
  <c r="E47" i="1"/>
  <c r="G44" i="1"/>
  <c r="C42" i="1"/>
  <c r="B40" i="1"/>
  <c r="B38" i="1"/>
  <c r="D35" i="1"/>
  <c r="D33" i="1"/>
  <c r="B32" i="1"/>
  <c r="O29" i="1"/>
  <c r="Q28" i="1"/>
  <c r="B28" i="1"/>
  <c r="D27" i="1"/>
  <c r="M26" i="1"/>
  <c r="J25" i="1"/>
  <c r="M24" i="1"/>
  <c r="O23" i="1"/>
  <c r="B22" i="1"/>
  <c r="D21" i="1"/>
  <c r="M20" i="1"/>
  <c r="J19" i="1"/>
  <c r="O17" i="1"/>
  <c r="G16" i="1"/>
  <c r="L15" i="1"/>
  <c r="F10" i="1"/>
  <c r="J22" i="1" l="1"/>
  <c r="H122" i="1"/>
  <c r="O22" i="1"/>
  <c r="B129" i="1"/>
  <c r="L22" i="1"/>
  <c r="P22" i="1"/>
  <c r="H110" i="1"/>
  <c r="B124" i="1"/>
  <c r="B131" i="1"/>
  <c r="M22" i="1"/>
  <c r="Q22" i="1"/>
  <c r="D117" i="1"/>
  <c r="H120" i="1"/>
  <c r="D125" i="1"/>
  <c r="N22" i="1"/>
  <c r="R22" i="1"/>
  <c r="B118" i="1"/>
  <c r="D121" i="1"/>
  <c r="B127" i="1"/>
  <c r="P2" i="6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H109" i="1"/>
  <c r="H111" i="1"/>
  <c r="H118" i="1"/>
  <c r="D119" i="1"/>
  <c r="B120" i="1"/>
  <c r="B122" i="1"/>
  <c r="D123" i="1"/>
  <c r="H124" i="1"/>
  <c r="B126" i="1"/>
  <c r="B128" i="1"/>
  <c r="B130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26" i="6"/>
  <c r="P22" i="6"/>
  <c r="P18" i="6"/>
  <c r="P14" i="6"/>
  <c r="P12" i="6"/>
  <c r="P5" i="6"/>
  <c r="P4" i="6"/>
  <c r="P8" i="6"/>
  <c r="J8" i="6"/>
  <c r="J17" i="6"/>
  <c r="J7" i="6"/>
  <c r="J9" i="6"/>
  <c r="J22" i="6"/>
  <c r="J15" i="6"/>
  <c r="J20" i="6"/>
  <c r="J6" i="6"/>
  <c r="J23" i="6"/>
  <c r="J5" i="6"/>
  <c r="J18" i="6"/>
  <c r="J16" i="6"/>
  <c r="J19" i="6"/>
  <c r="J21" i="6"/>
</calcChain>
</file>

<file path=xl/sharedStrings.xml><?xml version="1.0" encoding="utf-8"?>
<sst xmlns="http://schemas.openxmlformats.org/spreadsheetml/2006/main" count="588" uniqueCount="280">
  <si>
    <t>d19041816.IB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</si>
  <si>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</si>
  <si>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</si>
  <si>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</si>
  <si>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</si>
  <si>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</si>
  <si>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</si>
  <si>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</si>
  <si>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</si>
  <si>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</si>
  <si>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</si>
  <si>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</si>
  <si>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</si>
  <si>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</si>
  <si>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</si>
  <si>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</si>
  <si>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</si>
  <si>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</si>
  <si>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</si>
  <si>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</si>
  <si>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</si>
  <si>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</si>
  <si>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</si>
  <si>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</si>
  <si>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</si>
  <si>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</si>
  <si>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</si>
  <si>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</si>
  <si>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</si>
  <si>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</si>
  <si>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</si>
  <si>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</si>
  <si>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</si>
  <si>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</si>
  <si>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</si>
  <si>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</si>
  <si>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</si>
  <si>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</si>
  <si>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</si>
  <si>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</si>
  <si>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</si>
  <si>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</si>
  <si>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</si>
  <si>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</si>
  <si>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</si>
  <si>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</si>
  <si>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</si>
  <si>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</si>
  <si>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</si>
  <si>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</si>
  <si>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</si>
  <si>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</si>
  <si>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</si>
  <si>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</si>
  <si>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</si>
  <si>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</si>
  <si>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</si>
  <si>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</si>
  <si>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</si>
  <si>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</si>
  <si>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</si>
  <si>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</si>
  <si>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</si>
  <si>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</si>
  <si>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</si>
  <si>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</si>
  <si>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</si>
  <si>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</si>
  <si>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</si>
  <si>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</si>
  <si>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</si>
  <si>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</si>
  <si>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</si>
  <si>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</si>
  <si>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</si>
  <si>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</si>
  <si>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</si>
  <si>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</si>
  <si>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</si>
  <si>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</si>
  <si>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</si>
  <si>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</si>
  <si>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</si>
  <si>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</si>
  <si>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</si>
  <si>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</si>
  <si>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</si>
  <si>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</si>
  <si>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</si>
  <si>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</si>
  <si>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</si>
  <si>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</si>
  <si>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</si>
  <si>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</si>
  <si>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</si>
  <si>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</si>
  <si>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</si>
  <si>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</si>
  <si>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</si>
  <si>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</si>
  <si>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</si>
  <si>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</si>
  <si>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</si>
  <si>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</si>
  <si>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</si>
  <si>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</si>
  <si>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</si>
  <si>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</si>
  <si>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</si>
  <si>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</si>
  <si>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</si>
  <si>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</si>
  <si>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</si>
  <si>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</si>
  <si>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</si>
  <si>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</si>
  <si>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</si>
  <si>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</si>
  <si>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</si>
  <si>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</si>
  <si>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</si>
  <si>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011900753.IB</t>
  </si>
  <si>
    <t>20190325</t>
  </si>
  <si>
    <t>19华能新能SCP002</t>
  </si>
  <si>
    <t>011900640.IB</t>
  </si>
  <si>
    <t>20190315</t>
  </si>
  <si>
    <t>19华能新能SCP001</t>
  </si>
  <si>
    <t>011802506.IB</t>
  </si>
  <si>
    <t>20181217</t>
  </si>
  <si>
    <t>18华能新能SCP005</t>
  </si>
  <si>
    <t>011802319.IB</t>
  </si>
  <si>
    <t>20181126</t>
  </si>
  <si>
    <t>18华能新能SCP004</t>
  </si>
  <si>
    <t>011802080.IB</t>
  </si>
  <si>
    <t>20181029</t>
  </si>
  <si>
    <t>18华能新能SCP002</t>
  </si>
  <si>
    <t>011802081.IB</t>
  </si>
  <si>
    <t>18华能新能SCP003</t>
  </si>
  <si>
    <t>011801909.IB</t>
  </si>
  <si>
    <t>20181010</t>
  </si>
  <si>
    <t>18华能新能SCP001</t>
  </si>
  <si>
    <t>011751109.IB</t>
  </si>
  <si>
    <t>20171117</t>
  </si>
  <si>
    <t>17华能新能SCP004</t>
  </si>
  <si>
    <t>011751077.IB</t>
  </si>
  <si>
    <t>20170803</t>
  </si>
  <si>
    <t>17华能新能SCP003</t>
  </si>
  <si>
    <t>011751066.IB</t>
  </si>
  <si>
    <t>20170713</t>
  </si>
  <si>
    <t>17华能新能SCP002</t>
  </si>
  <si>
    <t>011751038.IB</t>
  </si>
  <si>
    <t>20170424</t>
  </si>
  <si>
    <t>17华能新能SCP001</t>
  </si>
  <si>
    <t>011698494.IB</t>
  </si>
  <si>
    <t>20160922</t>
  </si>
  <si>
    <t>16华能新能SCP004</t>
  </si>
  <si>
    <t>041677003.IB</t>
  </si>
  <si>
    <t>20160902</t>
  </si>
  <si>
    <t>16华能新能CP002</t>
  </si>
  <si>
    <t>041677002.IB</t>
  </si>
  <si>
    <t>20160804</t>
  </si>
  <si>
    <t>16华能新能CP001</t>
  </si>
  <si>
    <t>136533.SH</t>
  </si>
  <si>
    <t>20160708</t>
  </si>
  <si>
    <t>G16能新1</t>
  </si>
  <si>
    <t>011699722.IB</t>
  </si>
  <si>
    <t>20160429</t>
  </si>
  <si>
    <t>16华能新能SCP003</t>
  </si>
  <si>
    <t>011699320.IB</t>
  </si>
  <si>
    <t>20160302</t>
  </si>
  <si>
    <t>16华能新能SCP002</t>
  </si>
  <si>
    <t>011699196.IB</t>
  </si>
  <si>
    <t>20160127</t>
  </si>
  <si>
    <t>16华能新能SCP001</t>
  </si>
  <si>
    <t>041577004.IB</t>
  </si>
  <si>
    <t>20150717</t>
  </si>
  <si>
    <t>15华能新能CP003</t>
  </si>
  <si>
    <t>041577003.IB</t>
  </si>
  <si>
    <t>20150508</t>
  </si>
  <si>
    <t>15华能新能CP002</t>
  </si>
  <si>
    <t>041577002.IB</t>
  </si>
  <si>
    <t>20150310</t>
  </si>
  <si>
    <t>15华能新能CP001</t>
  </si>
  <si>
    <t>031490657.IB</t>
  </si>
  <si>
    <t>20140730</t>
  </si>
  <si>
    <t>14华能新能PPN001</t>
  </si>
  <si>
    <t>122198.SH</t>
  </si>
  <si>
    <t>20121029</t>
  </si>
  <si>
    <t>12能新01</t>
  </si>
  <si>
    <t>122199.SH</t>
  </si>
  <si>
    <t>12能新02</t>
  </si>
  <si>
    <t>历史主体评级</t>
  </si>
  <si>
    <t>发布日期</t>
  </si>
  <si>
    <t>主体资信级别</t>
  </si>
  <si>
    <t>评级展望</t>
  </si>
  <si>
    <t>评级机构</t>
  </si>
  <si>
    <t>20181121</t>
  </si>
  <si>
    <t>稳定</t>
  </si>
  <si>
    <t>联合资信评估有限公司</t>
  </si>
  <si>
    <t>20180824</t>
  </si>
  <si>
    <t>20180615</t>
  </si>
  <si>
    <t>联合信用评级有限公司</t>
  </si>
  <si>
    <t>20171115</t>
  </si>
  <si>
    <t>20170705</t>
  </si>
  <si>
    <t>20170619</t>
  </si>
  <si>
    <t>20170125</t>
  </si>
  <si>
    <t>20160623</t>
  </si>
  <si>
    <t>20160613</t>
  </si>
  <si>
    <t>20160607</t>
  </si>
  <si>
    <t>20160506</t>
  </si>
  <si>
    <t>20160121</t>
  </si>
  <si>
    <t>20150708</t>
  </si>
  <si>
    <t>20150604</t>
  </si>
  <si>
    <t>20150527</t>
  </si>
  <si>
    <t>20150104</t>
  </si>
  <si>
    <t>20141016</t>
  </si>
  <si>
    <t>20140604</t>
  </si>
  <si>
    <t>20130528</t>
  </si>
  <si>
    <t>20121025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</si>
  <si>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</si>
  <si>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</si>
  <si>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</si>
  <si>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</si>
  <si>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</si>
  <si>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</si>
  <si>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</si>
  <si>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</si>
  <si>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</si>
  <si>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</si>
  <si>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</si>
  <si>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</si>
  <si>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</si>
  <si>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</si>
  <si>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</si>
  <si>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</si>
  <si>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</si>
  <si>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</si>
  <si>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</si>
  <si>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</si>
  <si>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</si>
  <si>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</si>
  <si>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</si>
  <si>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</si>
  <si>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</si>
  <si>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</si>
  <si>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</si>
  <si>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</si>
  <si>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</si>
  <si>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</si>
  <si>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</si>
  <si>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</si>
  <si>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</si>
  <si>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</si>
  <si>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</si>
  <si>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</si>
  <si>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</si>
  <si>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</si>
  <si>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</si>
  <si>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</si>
  <si>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</si>
  <si>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</si>
  <si>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</si>
  <si>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</si>
  <si>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华能新能源股份有限公司</t>
  </si>
  <si>
    <t>中央国有企业</t>
  </si>
  <si>
    <t>公用事业--公用事业Ⅱ--独立电力生产商与能源贸易商Ⅲ--新能源发电业者</t>
  </si>
  <si>
    <t>北京市海淀区复兴路甲23号10-11层</t>
  </si>
  <si>
    <t>公司是中国华能集团公司旗下的子公司。公司致力于新能源项目的投资、建设与经营，以风电开发与运营为核心，太阳能等其他可再生能源协同发展；坚持科学发展与合理布局，通过基地型与分散式相结合、陆地与海上相结合、开发与收购相结合，努力提高发展品质和效益，不断提升公司的盈利能力、竞争能力和可持续发展能力，立足国内，走向世界，努力创建具有国际竞争力的世界一流新能源企业。</t>
  </si>
  <si>
    <t>中国华能集团有限公司</t>
  </si>
  <si>
    <t>华能资本服务有限公司</t>
  </si>
  <si>
    <t/>
  </si>
  <si>
    <t>A-1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</si>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</sst>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华能新能源股份有限公司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公用事业--公用事业Ⅱ--独立电力生产商与能源贸易商Ⅲ--新能源发电业者</v>
      </c>
      <c r="C5" s="120"/>
      <c r="D5" s="57" t="s">
        <v>5</v>
      </c>
      <c r="E5" s="119" t="str">
        <f>[1]!b_issuer_regaddress(A2)</f>
        <v>北京市海淀区复兴路甲23号10-11层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中国华能集团公司旗下的子公司。公司致力于新能源项目的投资、建设与经营，以风电开发与运营为核心，太阳能等其他可再生能源协同发展；坚持科学发展与合理布局，通过基地型与分散式相结合、陆地与海上相结合、开发与收购相结合，努力提高发展品质和效益，不断提升公司的盈利能力、竞争能力和可持续发展能力，立足国内，走向世界，努力创建具有国际竞争力的世界一流新能源企业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中国华能集团有限公司</v>
      </c>
      <c r="C7" s="120"/>
      <c r="D7" s="120"/>
      <c r="E7" s="120"/>
      <c r="F7" s="61">
        <f>[1]!b_issuer_propofshareholder($A$2,"",1)%</f>
        <v>0.54060001373291011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华能资本服务有限公司</v>
      </c>
      <c r="C8" s="120"/>
      <c r="D8" s="120"/>
      <c r="E8" s="120"/>
      <c r="F8" s="61">
        <f>[1]!b_issuer_propofshareholder($A$2,"",2)%</f>
        <v>2.8499999046325684E-2</v>
      </c>
      <c r="G8" s="60"/>
      <c r="H8" s="20"/>
      <c r="M8" s="25"/>
      <c r="O8" s="25"/>
      <c r="P8" s="63"/>
    </row>
    <row r="9" spans="1:20" s="17" customFormat="1" x14ac:dyDescent="0.25">
      <c r="A9" s="59"/>
      <c r="B9" s="122">
        <f>[1]!b_issuer_shareholder(A2,"",3)</f>
        <v>0</v>
      </c>
      <c r="C9" s="120"/>
      <c r="D9" s="120"/>
      <c r="E9" s="120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d19041816.IB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华能新能源股份有限公司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861.84030245029999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0.70582499999999992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0.41499999999999998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1.9041742579118552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0.1537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106.2418960097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0.90429999999999988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0.53851300000000002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30.663708381300001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0.135384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76.807088945399997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14974007483.190001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118891784.94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3732651418.8600001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28312267609.580002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1139056700.74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25353181200.049999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d19041816.IB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0.70582499999999992</v>
      </c>
      <c r="C109" s="54" t="s">
        <v>36</v>
      </c>
      <c r="D109" s="72">
        <f>[1]!s_fa_current(A2,B2)</f>
        <v>0.41499999999999998</v>
      </c>
      <c r="E109" s="54" t="s">
        <v>41</v>
      </c>
      <c r="F109" s="73">
        <f>[1]!s_fa_salescashintoor(A2,B2)/100</f>
        <v>0.90429999999999988</v>
      </c>
      <c r="G109" s="54" t="s">
        <v>42</v>
      </c>
      <c r="H109" s="12">
        <f>S109/100</f>
        <v>0.53851300000000002</v>
      </c>
      <c r="I109" s="54"/>
      <c r="J109" s="16"/>
      <c r="K109" s="25"/>
      <c r="L109" s="34" t="s">
        <v>61</v>
      </c>
      <c r="M109" s="74">
        <f>[1]!s_fa_debttoassets(A2,B2)</f>
        <v>70.582499999999996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53.851300000000002</v>
      </c>
    </row>
    <row r="110" spans="1:19" ht="15.75" customHeight="1" x14ac:dyDescent="0.25">
      <c r="A110" s="54" t="s">
        <v>62</v>
      </c>
      <c r="B110" s="12">
        <f>M110/100</f>
        <v>0.130439</v>
      </c>
      <c r="C110" s="54" t="s">
        <v>63</v>
      </c>
      <c r="D110" s="73">
        <f>[1]!s_fa_quick(A2,B2)</f>
        <v>0.41299999999999998</v>
      </c>
      <c r="E110" s="54" t="s">
        <v>64</v>
      </c>
      <c r="F110" s="72">
        <f>[1]!s_fa_arturn(A2,B2)</f>
        <v>1.8616999999999999</v>
      </c>
      <c r="G110" s="54" t="s">
        <v>65</v>
      </c>
      <c r="H110" s="12">
        <f>S110/100</f>
        <v>0.30830999999999997</v>
      </c>
      <c r="I110" s="54"/>
      <c r="J110" s="16"/>
      <c r="L110" s="54" t="s">
        <v>62</v>
      </c>
      <c r="M110" s="74">
        <f>[1]!s_fa_catoassets(A2,B2)</f>
        <v>13.043900000000001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30.831</v>
      </c>
    </row>
    <row r="111" spans="1:19" ht="15" customHeight="1" x14ac:dyDescent="0.25">
      <c r="A111" s="54" t="s">
        <v>66</v>
      </c>
      <c r="B111" s="12">
        <f>M111/100</f>
        <v>0.44526899999999997</v>
      </c>
      <c r="C111" s="54" t="s">
        <v>39</v>
      </c>
      <c r="D111" s="73">
        <f>[1]!s_fa_ebitdatodebt(A2,B2)</f>
        <v>0.1537</v>
      </c>
      <c r="E111" s="54" t="s">
        <v>67</v>
      </c>
      <c r="F111" s="72">
        <f>[1]!s_fa_invturn(A2,B2)</f>
        <v>111.3802</v>
      </c>
      <c r="G111" s="54" t="s">
        <v>45</v>
      </c>
      <c r="H111" s="12">
        <f>S111/100</f>
        <v>0.135384</v>
      </c>
      <c r="I111" s="54"/>
      <c r="J111" s="16"/>
      <c r="L111" s="54" t="s">
        <v>66</v>
      </c>
      <c r="M111" s="74">
        <f>[1]!s_fa_currentdebttodebt(A2,B2)</f>
        <v>44.526899999999998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13.538399999999999</v>
      </c>
    </row>
    <row r="112" spans="1:19" ht="14.25" customHeight="1" x14ac:dyDescent="0.25">
      <c r="A112" s="54" t="s">
        <v>38</v>
      </c>
      <c r="B112" s="76">
        <f>(M116+M117+M118+M119+M120+M121)/M123</f>
        <v>1.9041742579118552</v>
      </c>
      <c r="C112" s="54" t="s">
        <v>68</v>
      </c>
      <c r="D112" s="73">
        <f>[1]!s_fa_ebittointerest(A2,B2)</f>
        <v>2.4487000000000001</v>
      </c>
      <c r="E112" s="54" t="s">
        <v>69</v>
      </c>
      <c r="F112" s="72">
        <f>[1]!s_fa_caturn(A2,B2)</f>
        <v>1.0662</v>
      </c>
      <c r="G112" s="54" t="s">
        <v>70</v>
      </c>
      <c r="H112" s="12">
        <f>S112/100</f>
        <v>6.4817E-2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6.4817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0.1239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14974007483.190001</v>
      </c>
    </row>
    <row r="117" spans="1:21" ht="14.25" customHeight="1" x14ac:dyDescent="0.25">
      <c r="A117" s="54" t="s">
        <v>77</v>
      </c>
      <c r="B117" s="73">
        <f t="shared" ref="B117:B131" si="1">M127/100000000</f>
        <v>25.548252345399998</v>
      </c>
      <c r="C117" s="54" t="s">
        <v>78</v>
      </c>
      <c r="D117" s="76">
        <f t="shared" ref="D117:D125" si="2">O127/100000000</f>
        <v>106.2418960097</v>
      </c>
      <c r="E117" s="131" t="s">
        <v>79</v>
      </c>
      <c r="F117" s="124"/>
      <c r="G117" s="124"/>
      <c r="H117" s="132">
        <f t="shared" ref="H117:H131" si="3">S127/100000000</f>
        <v>96.069905084699997</v>
      </c>
      <c r="I117" s="124"/>
      <c r="J117" s="124"/>
      <c r="L117" s="17" t="s">
        <v>48</v>
      </c>
      <c r="M117" s="71">
        <f>[1]!b_stm07_bs(K107,82,L107,1)</f>
        <v>118891784.94</v>
      </c>
    </row>
    <row r="118" spans="1:21" ht="14.25" customHeight="1" x14ac:dyDescent="0.25">
      <c r="A118" s="54" t="s">
        <v>80</v>
      </c>
      <c r="B118" s="73">
        <f t="shared" si="1"/>
        <v>69.571117654399998</v>
      </c>
      <c r="C118" s="54" t="s">
        <v>81</v>
      </c>
      <c r="D118" s="76">
        <f t="shared" si="2"/>
        <v>76.2061352873</v>
      </c>
      <c r="E118" s="131" t="s">
        <v>82</v>
      </c>
      <c r="F118" s="124"/>
      <c r="G118" s="124"/>
      <c r="H118" s="132">
        <f t="shared" si="3"/>
        <v>0.38347360700000005</v>
      </c>
      <c r="I118" s="124"/>
      <c r="J118" s="124"/>
      <c r="L118" s="17" t="s">
        <v>49</v>
      </c>
      <c r="M118" s="71">
        <f>[1]!b_stm07_bs(K107,88,L107,1)</f>
        <v>3732651418.8600001</v>
      </c>
    </row>
    <row r="119" spans="1:21" ht="14.25" customHeight="1" x14ac:dyDescent="0.25">
      <c r="A119" s="54" t="s">
        <v>83</v>
      </c>
      <c r="B119" s="73">
        <f t="shared" si="1"/>
        <v>1.4753809803</v>
      </c>
      <c r="C119" s="54" t="s">
        <v>84</v>
      </c>
      <c r="D119" s="76">
        <f t="shared" si="2"/>
        <v>49.029216290400001</v>
      </c>
      <c r="E119" s="131" t="s">
        <v>85</v>
      </c>
      <c r="F119" s="124"/>
      <c r="G119" s="124"/>
      <c r="H119" s="133">
        <f t="shared" si="3"/>
        <v>98.847576373099997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647.54430955140003</v>
      </c>
      <c r="C120" s="54" t="s">
        <v>87</v>
      </c>
      <c r="D120" s="76">
        <f t="shared" si="2"/>
        <v>0</v>
      </c>
      <c r="E120" s="131" t="s">
        <v>88</v>
      </c>
      <c r="F120" s="124"/>
      <c r="G120" s="124"/>
      <c r="H120" s="132">
        <f t="shared" si="3"/>
        <v>6.2286068688</v>
      </c>
      <c r="I120" s="124"/>
      <c r="J120" s="124"/>
      <c r="L120" s="17" t="s">
        <v>51</v>
      </c>
      <c r="M120" s="71">
        <f>[1]!b_stm07_bs(K107,94,L107,1)</f>
        <v>28312267609.580002</v>
      </c>
    </row>
    <row r="121" spans="1:21" ht="14.25" customHeight="1" x14ac:dyDescent="0.25">
      <c r="A121" s="54" t="s">
        <v>89</v>
      </c>
      <c r="B121" s="73">
        <f t="shared" si="1"/>
        <v>64.323771656899993</v>
      </c>
      <c r="C121" s="54" t="s">
        <v>90</v>
      </c>
      <c r="D121" s="76">
        <f t="shared" si="2"/>
        <v>1.3970818398</v>
      </c>
      <c r="E121" s="131" t="s">
        <v>91</v>
      </c>
      <c r="F121" s="124"/>
      <c r="G121" s="124"/>
      <c r="H121" s="132">
        <f t="shared" si="3"/>
        <v>1.6727062183000001</v>
      </c>
      <c r="I121" s="124"/>
      <c r="J121" s="124"/>
      <c r="L121" s="17" t="s">
        <v>52</v>
      </c>
      <c r="M121" s="71">
        <f>[1]!b_stm07_bs(K107,95,L107,1)</f>
        <v>1139056700.74</v>
      </c>
    </row>
    <row r="122" spans="1:21" ht="14.25" customHeight="1" x14ac:dyDescent="0.25">
      <c r="A122" s="54" t="s">
        <v>92</v>
      </c>
      <c r="B122" s="73">
        <f t="shared" si="1"/>
        <v>9.4868578425999992</v>
      </c>
      <c r="C122" s="54" t="s">
        <v>93</v>
      </c>
      <c r="D122" s="76">
        <f t="shared" si="2"/>
        <v>22.629957062500001</v>
      </c>
      <c r="E122" s="131" t="s">
        <v>94</v>
      </c>
      <c r="F122" s="124"/>
      <c r="G122" s="124"/>
      <c r="H122" s="133">
        <f t="shared" si="3"/>
        <v>22.0404874277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861.84030245029999</v>
      </c>
      <c r="C123" s="54" t="s">
        <v>96</v>
      </c>
      <c r="D123" s="76">
        <f t="shared" si="2"/>
        <v>32.755445389400002</v>
      </c>
      <c r="E123" s="131" t="s">
        <v>97</v>
      </c>
      <c r="F123" s="124"/>
      <c r="G123" s="124"/>
      <c r="H123" s="133">
        <f t="shared" si="3"/>
        <v>76.807088945399997</v>
      </c>
      <c r="I123" s="124"/>
      <c r="J123" s="124"/>
      <c r="L123" s="17" t="s">
        <v>53</v>
      </c>
      <c r="M123" s="71">
        <f>[1]!b_stm07_bs(K107,141,L107,1)</f>
        <v>25353181200.049999</v>
      </c>
    </row>
    <row r="124" spans="1:21" ht="14.25" customHeight="1" x14ac:dyDescent="0.25">
      <c r="A124" s="54" t="s">
        <v>98</v>
      </c>
      <c r="B124" s="73">
        <f t="shared" si="1"/>
        <v>149.74007483190002</v>
      </c>
      <c r="C124" s="54" t="s">
        <v>99</v>
      </c>
      <c r="D124" s="76">
        <f t="shared" si="2"/>
        <v>34.127137366299998</v>
      </c>
      <c r="E124" s="131" t="s">
        <v>100</v>
      </c>
      <c r="F124" s="124"/>
      <c r="G124" s="124"/>
      <c r="H124" s="133">
        <f t="shared" si="3"/>
        <v>-41.908789774299997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37.326514188600001</v>
      </c>
      <c r="C125" s="54" t="s">
        <v>43</v>
      </c>
      <c r="D125" s="76">
        <f t="shared" si="2"/>
        <v>30.663708381300001</v>
      </c>
      <c r="E125" s="131" t="s">
        <v>102</v>
      </c>
      <c r="F125" s="124"/>
      <c r="G125" s="124"/>
      <c r="H125" s="132">
        <f t="shared" si="3"/>
        <v>19.093581739000001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347.88524168339995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283.12267609580005</v>
      </c>
      <c r="C127" s="54"/>
      <c r="D127" s="80"/>
      <c r="E127" s="131" t="s">
        <v>106</v>
      </c>
      <c r="F127" s="124"/>
      <c r="G127" s="124"/>
      <c r="H127" s="132">
        <f t="shared" si="3"/>
        <v>40</v>
      </c>
      <c r="I127" s="124"/>
      <c r="J127" s="124"/>
      <c r="L127" s="54" t="s">
        <v>77</v>
      </c>
      <c r="M127" s="75">
        <f>[1]!b_stm07_bs(K107,9,L107,1)</f>
        <v>2554825234.54</v>
      </c>
      <c r="N127" s="54" t="s">
        <v>78</v>
      </c>
      <c r="O127" s="75">
        <f>[1]!b_stm07_is(K107,83,L107,1)</f>
        <v>10624189600.969999</v>
      </c>
      <c r="P127" s="131" t="s">
        <v>79</v>
      </c>
      <c r="Q127" s="124"/>
      <c r="R127" s="124"/>
      <c r="S127" s="136">
        <f>[1]!b_stm07_cs(K107,9,L107,1)</f>
        <v>9606990508.4699993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11.3905670074</v>
      </c>
      <c r="C128" s="54"/>
      <c r="D128" s="80"/>
      <c r="E128" s="131" t="s">
        <v>108</v>
      </c>
      <c r="F128" s="124"/>
      <c r="G128" s="124"/>
      <c r="H128" s="133">
        <f t="shared" si="3"/>
        <v>407.08088342240001</v>
      </c>
      <c r="I128" s="124"/>
      <c r="J128" s="124"/>
      <c r="L128" s="54" t="s">
        <v>80</v>
      </c>
      <c r="M128" s="75">
        <f>[1]!b_stm07_bs(K107,12,L107,1)</f>
        <v>6957111765.4399996</v>
      </c>
      <c r="N128" s="54" t="s">
        <v>81</v>
      </c>
      <c r="O128" s="75">
        <f>[1]!b_stm07_is(K107,84,L107,1)</f>
        <v>7620613528.7299995</v>
      </c>
      <c r="P128" s="131" t="s">
        <v>82</v>
      </c>
      <c r="Q128" s="124"/>
      <c r="R128" s="124"/>
      <c r="S128" s="136">
        <f>[1]!b_stm07_cs(K107,11,L107,1)</f>
        <v>38347360.700000003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608.30849044980005</v>
      </c>
      <c r="C129" s="14"/>
      <c r="D129" s="13"/>
      <c r="E129" s="131" t="s">
        <v>110</v>
      </c>
      <c r="F129" s="124"/>
      <c r="G129" s="124"/>
      <c r="H129" s="132">
        <f t="shared" si="3"/>
        <v>399.45064576970003</v>
      </c>
      <c r="I129" s="124"/>
      <c r="J129" s="124"/>
      <c r="L129" s="54" t="s">
        <v>83</v>
      </c>
      <c r="M129" s="75">
        <f>[1]!b_stm07_bs(K107,13,L107,1)</f>
        <v>147538098.03</v>
      </c>
      <c r="N129" s="54" t="s">
        <v>84</v>
      </c>
      <c r="O129" s="75">
        <f>[1]!b_stm07_is(K107,10,L107,1)</f>
        <v>4902921629.04</v>
      </c>
      <c r="P129" s="131" t="s">
        <v>85</v>
      </c>
      <c r="Q129" s="124"/>
      <c r="R129" s="124"/>
      <c r="S129" s="137">
        <f>[1]!b_stm07_cs(K107,25,L107,1)</f>
        <v>9884757637.3099995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253.5318120005</v>
      </c>
      <c r="C130" s="14"/>
      <c r="D130" s="13"/>
      <c r="E130" s="131" t="s">
        <v>112</v>
      </c>
      <c r="F130" s="124"/>
      <c r="G130" s="124"/>
      <c r="H130" s="132">
        <f t="shared" si="3"/>
        <v>432.35045802589997</v>
      </c>
      <c r="I130" s="124"/>
      <c r="J130" s="124"/>
      <c r="L130" s="54" t="s">
        <v>86</v>
      </c>
      <c r="M130" s="75">
        <f>[1]!b_stm07_bs(K107,31,L107,1)</f>
        <v>64754430955.139999</v>
      </c>
      <c r="N130" s="54" t="s">
        <v>87</v>
      </c>
      <c r="O130" s="75">
        <f>[1]!b_stm07_is(K107,12,L107,1)</f>
        <v>0</v>
      </c>
      <c r="P130" s="131" t="s">
        <v>88</v>
      </c>
      <c r="Q130" s="124"/>
      <c r="R130" s="124"/>
      <c r="S130" s="136">
        <f>[1]!b_stm07_cs(K107,26,L107,1)</f>
        <v>622860686.88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861.84030245029999</v>
      </c>
      <c r="C131" s="14"/>
      <c r="D131" s="13"/>
      <c r="E131" s="131" t="s">
        <v>114</v>
      </c>
      <c r="F131" s="124"/>
      <c r="G131" s="124"/>
      <c r="H131" s="133">
        <f t="shared" si="3"/>
        <v>-25.269574603500001</v>
      </c>
      <c r="I131" s="124"/>
      <c r="J131" s="124"/>
      <c r="L131" s="54" t="s">
        <v>89</v>
      </c>
      <c r="M131" s="75">
        <f>[1]!b_stm07_bs(K107,33,L107,1)</f>
        <v>6432377165.6899996</v>
      </c>
      <c r="N131" s="54" t="s">
        <v>90</v>
      </c>
      <c r="O131" s="75">
        <f>[1]!b_stm07_is(K107,13,L107,1)</f>
        <v>139708183.97999999</v>
      </c>
      <c r="P131" s="131" t="s">
        <v>91</v>
      </c>
      <c r="Q131" s="124"/>
      <c r="R131" s="124"/>
      <c r="S131" s="136">
        <f>[1]!b_stm07_cs(K107,29,L107,1)</f>
        <v>167270621.83000001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948685784.25999999</v>
      </c>
      <c r="N132" s="54" t="s">
        <v>93</v>
      </c>
      <c r="O132" s="75">
        <f>[1]!b_stm07_is(K107,14,L107,1)</f>
        <v>2262995706.25</v>
      </c>
      <c r="P132" s="131" t="s">
        <v>94</v>
      </c>
      <c r="Q132" s="124"/>
      <c r="R132" s="124"/>
      <c r="S132" s="137">
        <f>[1]!b_stm07_cs(K107,37,L107,1)</f>
        <v>2204048742.77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86184030245.029999</v>
      </c>
      <c r="N133" s="54" t="s">
        <v>96</v>
      </c>
      <c r="O133" s="75">
        <f>[1]!b_stm07_is(K107,48,L107,1)</f>
        <v>3275544538.9400001</v>
      </c>
      <c r="P133" s="131" t="s">
        <v>97</v>
      </c>
      <c r="Q133" s="124"/>
      <c r="R133" s="124"/>
      <c r="S133" s="137">
        <f>[1]!b_stm07_cs(K107,39,L107,1)</f>
        <v>7680708894.54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14974007483.190001</v>
      </c>
      <c r="N134" s="54" t="s">
        <v>99</v>
      </c>
      <c r="O134" s="75">
        <f>[1]!b_stm07_is(K107,55,L107,1)</f>
        <v>3412713736.6300001</v>
      </c>
      <c r="P134" s="131" t="s">
        <v>100</v>
      </c>
      <c r="Q134" s="124"/>
      <c r="R134" s="124"/>
      <c r="S134" s="137">
        <f>[1]!b_stm07_cs(K107,59,L107,1)</f>
        <v>-4190878977.4299998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3732651418.8600001</v>
      </c>
      <c r="N135" s="54" t="s">
        <v>43</v>
      </c>
      <c r="O135" s="75">
        <f>[1]!b_stm07_is(K107,60,L107,1)</f>
        <v>3066370838.1300001</v>
      </c>
      <c r="P135" s="131" t="s">
        <v>102</v>
      </c>
      <c r="Q135" s="124"/>
      <c r="R135" s="124"/>
      <c r="S135" s="136">
        <f>[1]!b_stm07_cs(K107,60,L107,1)</f>
        <v>1909358173.9000001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34788524168.339996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28312267609.580002</v>
      </c>
      <c r="N137" s="54"/>
      <c r="O137" s="80"/>
      <c r="P137" s="131" t="s">
        <v>106</v>
      </c>
      <c r="Q137" s="124"/>
      <c r="R137" s="124"/>
      <c r="S137" s="136">
        <f>[1]!b_stm07_cs(K107,63,L107,1)</f>
        <v>4000000000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1139056700.74</v>
      </c>
      <c r="N138" s="54"/>
      <c r="O138" s="80"/>
      <c r="P138" s="131" t="s">
        <v>108</v>
      </c>
      <c r="Q138" s="124"/>
      <c r="R138" s="124"/>
      <c r="S138" s="137">
        <f>[1]!b_stm07_cs(K107,68,L107,1)</f>
        <v>40708088342.239998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60830849044.980003</v>
      </c>
      <c r="N139" s="14"/>
      <c r="O139" s="13"/>
      <c r="P139" s="131" t="s">
        <v>110</v>
      </c>
      <c r="Q139" s="124"/>
      <c r="R139" s="124"/>
      <c r="S139" s="136">
        <f>[1]!b_stm07_cs(K107,69,L107,1)</f>
        <v>39945064576.970001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25353181200.049999</v>
      </c>
      <c r="N140" s="14"/>
      <c r="O140" s="13"/>
      <c r="P140" s="131" t="s">
        <v>112</v>
      </c>
      <c r="Q140" s="124"/>
      <c r="R140" s="124"/>
      <c r="S140" s="136">
        <f>[1]!b_stm07_cs(K107,75,L107,1)</f>
        <v>43235045802.589996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86184030245.029999</v>
      </c>
      <c r="N141" s="14"/>
      <c r="O141" s="13"/>
      <c r="P141" s="131" t="s">
        <v>114</v>
      </c>
      <c r="Q141" s="124"/>
      <c r="R141" s="124"/>
      <c r="S141" s="137">
        <f>[1]!b_stm07_cs(K107,77,L107,1)</f>
        <v>-2526957460.3499999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263</v>
      </c>
      <c r="C2" s="120"/>
      <c r="D2" s="57" t="s">
        <v>3</v>
      </c>
      <c r="E2" s="119" t="s">
        <v>264</v>
      </c>
      <c r="F2" s="120"/>
      <c r="G2" s="120"/>
    </row>
    <row r="3" spans="1:12" ht="14.25" customHeight="1" x14ac:dyDescent="0.25">
      <c r="A3" s="57" t="s">
        <v>4</v>
      </c>
      <c r="B3" s="119" t="s">
        <v>265</v>
      </c>
      <c r="C3" s="120"/>
      <c r="D3" s="57" t="s">
        <v>5</v>
      </c>
      <c r="E3" s="119" t="s">
        <v>266</v>
      </c>
      <c r="F3" s="120"/>
      <c r="G3" s="120"/>
    </row>
    <row r="4" spans="1:12" ht="113.25" customHeight="1" x14ac:dyDescent="0.25">
      <c r="A4" s="57" t="s">
        <v>6</v>
      </c>
      <c r="B4" s="121" t="s">
        <v>267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268</v>
      </c>
      <c r="C5" s="120"/>
      <c r="D5" s="120"/>
      <c r="E5" s="120"/>
      <c r="F5" s="141">
        <v>0.54060001373291011</v>
      </c>
      <c r="G5" s="120"/>
    </row>
    <row r="6" spans="1:12" ht="11.25" customHeight="1" x14ac:dyDescent="0.25">
      <c r="A6" s="82" t="s">
        <v>116</v>
      </c>
      <c r="B6" s="140" t="s">
        <v>269</v>
      </c>
      <c r="C6" s="120"/>
      <c r="D6" s="120"/>
      <c r="E6" s="120"/>
      <c r="F6" s="141">
        <v>2.8499999046325684E-2</v>
      </c>
      <c r="G6" s="120"/>
    </row>
    <row r="7" spans="1:12" ht="11.25" customHeight="1" x14ac:dyDescent="0.25">
      <c r="A7" s="82" t="s">
        <v>117</v>
      </c>
      <c r="B7" s="140" t="s">
        <v>270</v>
      </c>
      <c r="C7" s="120"/>
      <c r="D7" s="120"/>
      <c r="E7" s="120"/>
      <c r="F7" s="141" t="s">
        <v>270</v>
      </c>
      <c r="G7" s="120"/>
    </row>
    <row r="8" spans="1:12" ht="11.25" customHeight="1" x14ac:dyDescent="0.25">
      <c r="A8" s="82" t="s">
        <v>118</v>
      </c>
      <c r="B8" s="140" t="s">
        <v>270</v>
      </c>
      <c r="C8" s="120"/>
      <c r="D8" s="120"/>
      <c r="E8" s="120"/>
      <c r="F8" s="141" t="s">
        <v>270</v>
      </c>
      <c r="G8" s="120"/>
    </row>
    <row r="9" spans="1:12" ht="11.25" customHeight="1" x14ac:dyDescent="0.25">
      <c r="A9" s="82" t="s">
        <v>119</v>
      </c>
      <c r="B9" s="140" t="s">
        <v>270</v>
      </c>
      <c r="C9" s="120"/>
      <c r="D9" s="120"/>
      <c r="E9" s="120"/>
      <c r="F9" s="141" t="s">
        <v>270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2.82</v>
      </c>
      <c r="E13" s="64">
        <v>0.43287671232876712</v>
      </c>
      <c r="F13" s="65">
        <v>0</v>
      </c>
      <c r="G13" s="64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2.6</v>
      </c>
      <c r="E14" s="83">
        <v>0.16438356164383561</v>
      </c>
      <c r="F14">
        <v>0</v>
      </c>
      <c r="G14" s="64">
        <v>10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4">
        <v>3.1</v>
      </c>
      <c r="E15" s="83">
        <v>0</v>
      </c>
      <c r="F15">
        <v>0</v>
      </c>
      <c r="G15" s="64">
        <v>10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4">
        <v>2.9</v>
      </c>
      <c r="E16" s="83">
        <v>0</v>
      </c>
      <c r="F16">
        <v>0</v>
      </c>
      <c r="G16" s="64">
        <v>10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4">
        <v>3.45</v>
      </c>
      <c r="E17" s="83">
        <v>0.27671232876712326</v>
      </c>
      <c r="F17">
        <v>0</v>
      </c>
      <c r="G17" s="64">
        <v>10</v>
      </c>
    </row>
    <row r="18" spans="1:7" ht="14.4" customHeight="1" x14ac:dyDescent="0.25">
      <c r="A18" t="s">
        <v>136</v>
      </c>
      <c r="B18" t="s">
        <v>134</v>
      </c>
      <c r="C18" t="s">
        <v>137</v>
      </c>
      <c r="D18" s="64">
        <v>3.3</v>
      </c>
      <c r="E18" s="83">
        <v>3.0136986301369864E-2</v>
      </c>
      <c r="F18">
        <v>0</v>
      </c>
      <c r="G18" s="64">
        <v>10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4">
        <v>3.3</v>
      </c>
      <c r="E19" s="83">
        <v>0</v>
      </c>
      <c r="F19">
        <v>0</v>
      </c>
      <c r="G19" s="64">
        <v>10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4">
        <v>4.29</v>
      </c>
      <c r="E20" s="83">
        <v>0</v>
      </c>
      <c r="F20">
        <v>0</v>
      </c>
      <c r="G20" s="64">
        <v>10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4">
        <v>4.4800000000000004</v>
      </c>
      <c r="E21" s="83">
        <v>0</v>
      </c>
      <c r="F21">
        <v>0</v>
      </c>
      <c r="G21" s="64">
        <v>10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4">
        <v>4.29</v>
      </c>
      <c r="E22" s="83">
        <v>0</v>
      </c>
      <c r="F22">
        <v>0</v>
      </c>
      <c r="G22" s="64">
        <v>10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4">
        <v>4.05</v>
      </c>
      <c r="E23" s="83">
        <v>0</v>
      </c>
      <c r="F23">
        <v>0</v>
      </c>
      <c r="G23" s="64">
        <v>10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4">
        <v>2.79</v>
      </c>
      <c r="E24" s="83">
        <v>0</v>
      </c>
      <c r="F24">
        <v>0</v>
      </c>
      <c r="G24" s="64">
        <v>20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4">
        <v>2.5</v>
      </c>
      <c r="E25" s="83">
        <v>0</v>
      </c>
      <c r="F25" t="s">
        <v>271</v>
      </c>
      <c r="G25" s="64">
        <v>10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4">
        <v>2.5</v>
      </c>
      <c r="E26" s="83">
        <v>0</v>
      </c>
      <c r="F26" t="s">
        <v>271</v>
      </c>
      <c r="G26" s="64">
        <v>10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4">
        <v>2.95</v>
      </c>
      <c r="E27" s="83">
        <v>2.2301369863013698</v>
      </c>
      <c r="F27" t="s">
        <v>25</v>
      </c>
      <c r="G27" s="64">
        <v>11.4</v>
      </c>
    </row>
    <row r="28" spans="1:7" ht="14.4" customHeight="1" x14ac:dyDescent="0.25">
      <c r="A28" t="s">
        <v>165</v>
      </c>
      <c r="B28" t="s">
        <v>166</v>
      </c>
      <c r="C28" t="s">
        <v>167</v>
      </c>
      <c r="D28" s="64">
        <v>2.95</v>
      </c>
      <c r="E28" s="83">
        <v>0</v>
      </c>
      <c r="F28">
        <v>0</v>
      </c>
      <c r="G28" s="64">
        <v>20</v>
      </c>
    </row>
    <row r="29" spans="1:7" ht="14.4" customHeight="1" x14ac:dyDescent="0.25">
      <c r="A29" t="s">
        <v>168</v>
      </c>
      <c r="B29" t="s">
        <v>169</v>
      </c>
      <c r="C29" t="s">
        <v>170</v>
      </c>
      <c r="D29" s="64">
        <v>2.68</v>
      </c>
      <c r="E29" s="83">
        <v>0</v>
      </c>
      <c r="F29">
        <v>0</v>
      </c>
      <c r="G29" s="64">
        <v>20</v>
      </c>
    </row>
    <row r="30" spans="1:7" ht="14.4" customHeight="1" x14ac:dyDescent="0.25">
      <c r="A30" t="s">
        <v>171</v>
      </c>
      <c r="B30" t="s">
        <v>172</v>
      </c>
      <c r="C30" t="s">
        <v>173</v>
      </c>
      <c r="D30" s="64">
        <v>2.9</v>
      </c>
      <c r="E30" s="83">
        <v>0</v>
      </c>
      <c r="F30">
        <v>0</v>
      </c>
      <c r="G30" s="64">
        <v>20</v>
      </c>
    </row>
    <row r="31" spans="1:7" ht="14.4" customHeight="1" x14ac:dyDescent="0.25">
      <c r="A31" t="s">
        <v>174</v>
      </c>
      <c r="B31" t="s">
        <v>175</v>
      </c>
      <c r="C31" t="s">
        <v>176</v>
      </c>
      <c r="D31" s="64">
        <v>3.45</v>
      </c>
      <c r="E31" s="83">
        <v>0</v>
      </c>
      <c r="F31" t="s">
        <v>271</v>
      </c>
      <c r="G31" s="64">
        <v>10</v>
      </c>
    </row>
    <row r="32" spans="1:7" ht="14.4" customHeight="1" x14ac:dyDescent="0.25">
      <c r="A32" t="s">
        <v>177</v>
      </c>
      <c r="B32" t="s">
        <v>178</v>
      </c>
      <c r="C32" t="s">
        <v>179</v>
      </c>
      <c r="D32" s="64">
        <v>3.85</v>
      </c>
      <c r="E32" s="83">
        <v>0</v>
      </c>
      <c r="F32" t="s">
        <v>271</v>
      </c>
      <c r="G32" s="64">
        <v>5</v>
      </c>
    </row>
    <row r="33" spans="1:7" ht="14.4" customHeight="1" x14ac:dyDescent="0.25">
      <c r="A33" t="s">
        <v>180</v>
      </c>
      <c r="B33" t="s">
        <v>181</v>
      </c>
      <c r="C33" t="s">
        <v>182</v>
      </c>
      <c r="D33" s="64">
        <v>4.5999999999999996</v>
      </c>
      <c r="E33" s="83">
        <v>0</v>
      </c>
      <c r="F33" t="s">
        <v>271</v>
      </c>
      <c r="G33" s="64">
        <v>5</v>
      </c>
    </row>
    <row r="34" spans="1:7" ht="14.4" customHeight="1" x14ac:dyDescent="0.25">
      <c r="A34" t="s">
        <v>183</v>
      </c>
      <c r="B34" t="s">
        <v>184</v>
      </c>
      <c r="C34" t="s">
        <v>185</v>
      </c>
      <c r="D34" s="64">
        <v>5.65</v>
      </c>
      <c r="E34" s="83">
        <v>0</v>
      </c>
      <c r="F34">
        <v>0</v>
      </c>
      <c r="G34" s="64">
        <v>10</v>
      </c>
    </row>
    <row r="35" spans="1:7" ht="14.4" customHeight="1" x14ac:dyDescent="0.25">
      <c r="A35" t="s">
        <v>186</v>
      </c>
      <c r="B35" t="s">
        <v>187</v>
      </c>
      <c r="C35" t="s">
        <v>188</v>
      </c>
      <c r="D35" s="64">
        <v>4.8</v>
      </c>
      <c r="E35" s="83">
        <v>0</v>
      </c>
      <c r="F35" t="s">
        <v>25</v>
      </c>
      <c r="G35" s="64">
        <v>11.4</v>
      </c>
    </row>
    <row r="36" spans="1:7" ht="14.4" customHeight="1" x14ac:dyDescent="0.25">
      <c r="A36" t="s">
        <v>189</v>
      </c>
      <c r="B36" t="s">
        <v>187</v>
      </c>
      <c r="C36" t="s">
        <v>190</v>
      </c>
      <c r="D36" s="64">
        <v>5.09</v>
      </c>
      <c r="E36" s="83">
        <v>0</v>
      </c>
      <c r="F36" t="s">
        <v>25</v>
      </c>
      <c r="G36" s="64">
        <v>8.6</v>
      </c>
    </row>
    <row r="37" spans="1:7" ht="14.4" customHeight="1" x14ac:dyDescent="0.25">
      <c r="D37" s="64"/>
      <c r="E37" s="83"/>
      <c r="G37" s="64"/>
    </row>
    <row r="38" spans="1:7" ht="14.4" customHeight="1" x14ac:dyDescent="0.25">
      <c r="D38" s="64"/>
      <c r="E38" s="83"/>
      <c r="G38" s="64"/>
    </row>
    <row r="39" spans="1:7" ht="14.4" customHeight="1" x14ac:dyDescent="0.25">
      <c r="D39" s="64"/>
      <c r="E39" s="83"/>
      <c r="G39" s="64"/>
    </row>
    <row r="40" spans="1:7" ht="14.4" customHeight="1" x14ac:dyDescent="0.25">
      <c r="D40" s="64"/>
      <c r="E40" s="83"/>
      <c r="G40" s="64"/>
    </row>
    <row r="41" spans="1:7" ht="14.4" customHeight="1" x14ac:dyDescent="0.25">
      <c r="D41" s="64"/>
      <c r="E41" s="83"/>
      <c r="G41" s="64"/>
    </row>
    <row r="42" spans="1:7" ht="14.4" customHeight="1" x14ac:dyDescent="0.25">
      <c r="A42" s="143" t="s">
        <v>191</v>
      </c>
      <c r="B42" s="143"/>
      <c r="C42" s="143"/>
      <c r="D42" s="143"/>
      <c r="E42" s="83"/>
      <c r="G42" s="64"/>
    </row>
    <row r="43" spans="1:7" ht="14.4" customHeight="1" x14ac:dyDescent="0.25">
      <c r="A43" s="84" t="s">
        <v>192</v>
      </c>
      <c r="B43" s="84" t="s">
        <v>193</v>
      </c>
      <c r="C43" s="84" t="s">
        <v>194</v>
      </c>
      <c r="D43" s="85" t="s">
        <v>195</v>
      </c>
      <c r="E43" s="83"/>
      <c r="G43" s="64"/>
    </row>
    <row r="44" spans="1:7" ht="14.4" customHeight="1" x14ac:dyDescent="0.25">
      <c r="A44" t="s">
        <v>196</v>
      </c>
      <c r="B44" t="s">
        <v>25</v>
      </c>
      <c r="C44" t="s">
        <v>197</v>
      </c>
      <c r="D44" s="64" t="s">
        <v>198</v>
      </c>
      <c r="E44" s="83"/>
      <c r="G44" s="64"/>
    </row>
    <row r="45" spans="1:7" ht="14.4" customHeight="1" x14ac:dyDescent="0.25">
      <c r="A45" t="s">
        <v>199</v>
      </c>
      <c r="B45" t="s">
        <v>25</v>
      </c>
      <c r="C45" t="s">
        <v>197</v>
      </c>
      <c r="D45" s="64" t="s">
        <v>198</v>
      </c>
      <c r="E45" s="83"/>
      <c r="G45" s="64"/>
    </row>
    <row r="46" spans="1:7" ht="14.4" customHeight="1" x14ac:dyDescent="0.25">
      <c r="A46" t="s">
        <v>200</v>
      </c>
      <c r="B46" t="s">
        <v>25</v>
      </c>
      <c r="C46" t="s">
        <v>197</v>
      </c>
      <c r="D46" s="64" t="s">
        <v>201</v>
      </c>
      <c r="E46" s="83"/>
      <c r="G46" s="64"/>
    </row>
    <row r="47" spans="1:7" ht="14.4" customHeight="1" x14ac:dyDescent="0.25">
      <c r="A47" t="s">
        <v>202</v>
      </c>
      <c r="B47" t="s">
        <v>25</v>
      </c>
      <c r="C47" t="s">
        <v>197</v>
      </c>
      <c r="D47" s="64" t="s">
        <v>198</v>
      </c>
      <c r="E47" s="83"/>
      <c r="G47" s="64"/>
    </row>
    <row r="48" spans="1:7" ht="14.4" customHeight="1" x14ac:dyDescent="0.25">
      <c r="A48" t="s">
        <v>203</v>
      </c>
      <c r="B48" t="s">
        <v>25</v>
      </c>
      <c r="C48" t="s">
        <v>197</v>
      </c>
      <c r="D48" s="64" t="s">
        <v>198</v>
      </c>
      <c r="E48" s="83"/>
      <c r="G48" s="64"/>
    </row>
    <row r="49" spans="1:7" ht="14.4" customHeight="1" x14ac:dyDescent="0.25">
      <c r="A49" t="s">
        <v>204</v>
      </c>
      <c r="B49" t="s">
        <v>25</v>
      </c>
      <c r="C49" t="s">
        <v>197</v>
      </c>
      <c r="D49" s="64" t="s">
        <v>201</v>
      </c>
      <c r="E49" s="83"/>
      <c r="G49" s="64"/>
    </row>
    <row r="50" spans="1:7" ht="14.4" customHeight="1" x14ac:dyDescent="0.25">
      <c r="A50" t="s">
        <v>205</v>
      </c>
      <c r="B50" t="s">
        <v>25</v>
      </c>
      <c r="C50" t="s">
        <v>197</v>
      </c>
      <c r="D50" s="64" t="s">
        <v>198</v>
      </c>
      <c r="E50" s="83"/>
      <c r="G50" s="64"/>
    </row>
    <row r="51" spans="1:7" ht="14.4" customHeight="1" x14ac:dyDescent="0.25">
      <c r="A51" t="s">
        <v>206</v>
      </c>
      <c r="B51" t="s">
        <v>25</v>
      </c>
      <c r="C51" t="s">
        <v>197</v>
      </c>
      <c r="D51" s="64" t="s">
        <v>198</v>
      </c>
      <c r="E51" s="83"/>
      <c r="G51" s="64"/>
    </row>
    <row r="52" spans="1:7" ht="14.4" customHeight="1" x14ac:dyDescent="0.25">
      <c r="A52" t="s">
        <v>207</v>
      </c>
      <c r="B52" t="s">
        <v>25</v>
      </c>
      <c r="C52" t="s">
        <v>197</v>
      </c>
      <c r="D52" s="64" t="s">
        <v>198</v>
      </c>
      <c r="E52" s="83"/>
      <c r="G52" s="64"/>
    </row>
    <row r="53" spans="1:7" ht="14.4" customHeight="1" x14ac:dyDescent="0.25">
      <c r="A53" t="s">
        <v>208</v>
      </c>
      <c r="B53" t="s">
        <v>25</v>
      </c>
      <c r="C53" t="s">
        <v>197</v>
      </c>
      <c r="D53" s="64" t="s">
        <v>201</v>
      </c>
      <c r="E53" s="83"/>
      <c r="G53" s="64"/>
    </row>
    <row r="54" spans="1:7" ht="14.4" customHeight="1" x14ac:dyDescent="0.25">
      <c r="A54" t="s">
        <v>209</v>
      </c>
      <c r="B54" t="s">
        <v>25</v>
      </c>
      <c r="C54" t="s">
        <v>197</v>
      </c>
      <c r="D54" s="64" t="s">
        <v>201</v>
      </c>
      <c r="E54" s="83"/>
      <c r="G54" s="64"/>
    </row>
    <row r="55" spans="1:7" ht="14.4" customHeight="1" x14ac:dyDescent="0.25">
      <c r="A55" t="s">
        <v>210</v>
      </c>
      <c r="B55" t="s">
        <v>25</v>
      </c>
      <c r="C55" t="s">
        <v>197</v>
      </c>
      <c r="D55" s="64" t="s">
        <v>198</v>
      </c>
      <c r="E55" s="83"/>
      <c r="G55" s="64"/>
    </row>
    <row r="56" spans="1:7" ht="14.4" customHeight="1" x14ac:dyDescent="0.25">
      <c r="A56" t="s">
        <v>211</v>
      </c>
      <c r="B56" t="s">
        <v>25</v>
      </c>
      <c r="C56" t="s">
        <v>197</v>
      </c>
      <c r="D56" s="64" t="s">
        <v>198</v>
      </c>
      <c r="E56" s="83"/>
      <c r="G56" s="64"/>
    </row>
    <row r="57" spans="1:7" ht="14.4" customHeight="1" x14ac:dyDescent="0.25">
      <c r="A57" t="s">
        <v>212</v>
      </c>
      <c r="B57" t="s">
        <v>25</v>
      </c>
      <c r="C57" t="s">
        <v>197</v>
      </c>
      <c r="D57" s="64" t="s">
        <v>201</v>
      </c>
      <c r="E57" s="83"/>
      <c r="G57" s="64"/>
    </row>
    <row r="58" spans="1:7" ht="14.4" customHeight="1" x14ac:dyDescent="0.25">
      <c r="A58" t="s">
        <v>213</v>
      </c>
      <c r="B58" t="s">
        <v>25</v>
      </c>
      <c r="C58" t="s">
        <v>197</v>
      </c>
      <c r="D58" s="64" t="s">
        <v>198</v>
      </c>
      <c r="E58" s="83"/>
      <c r="G58" s="64"/>
    </row>
    <row r="59" spans="1:7" ht="14.4" customHeight="1" x14ac:dyDescent="0.25">
      <c r="A59" t="s">
        <v>214</v>
      </c>
      <c r="B59" t="s">
        <v>25</v>
      </c>
      <c r="C59" t="s">
        <v>197</v>
      </c>
      <c r="D59" s="64" t="s">
        <v>198</v>
      </c>
      <c r="E59" s="83"/>
      <c r="G59" s="64"/>
    </row>
    <row r="60" spans="1:7" ht="14.4" customHeight="1" x14ac:dyDescent="0.25">
      <c r="A60" t="s">
        <v>215</v>
      </c>
      <c r="B60" t="s">
        <v>25</v>
      </c>
      <c r="C60" t="s">
        <v>197</v>
      </c>
      <c r="D60" s="64" t="s">
        <v>198</v>
      </c>
      <c r="E60" s="83"/>
      <c r="G60" s="64"/>
    </row>
    <row r="61" spans="1:7" ht="14.4" customHeight="1" x14ac:dyDescent="0.25">
      <c r="A61" t="s">
        <v>216</v>
      </c>
      <c r="B61" t="s">
        <v>25</v>
      </c>
      <c r="C61" t="s">
        <v>197</v>
      </c>
      <c r="D61" s="64" t="s">
        <v>201</v>
      </c>
      <c r="E61" s="83"/>
      <c r="G61" s="64"/>
    </row>
    <row r="62" spans="1:7" ht="14.4" customHeight="1" x14ac:dyDescent="0.25">
      <c r="A62" t="s">
        <v>217</v>
      </c>
      <c r="B62" t="s">
        <v>25</v>
      </c>
      <c r="C62" t="s">
        <v>197</v>
      </c>
      <c r="D62" s="64" t="s">
        <v>201</v>
      </c>
      <c r="E62" s="83"/>
      <c r="G62" s="64"/>
    </row>
    <row r="63" spans="1:7" ht="14.4" customHeight="1" x14ac:dyDescent="0.25">
      <c r="A63" t="s">
        <v>218</v>
      </c>
      <c r="B63" t="s">
        <v>25</v>
      </c>
      <c r="C63" t="s">
        <v>197</v>
      </c>
      <c r="D63" s="64" t="s">
        <v>201</v>
      </c>
      <c r="E63" s="83"/>
      <c r="G63" s="64"/>
    </row>
    <row r="64" spans="1:7" ht="14.4" customHeight="1" x14ac:dyDescent="0.25">
      <c r="D64" s="64"/>
      <c r="E64" s="83"/>
      <c r="G64" s="64"/>
    </row>
    <row r="65" spans="1:7" ht="14.4" customHeight="1" x14ac:dyDescent="0.25">
      <c r="D65" s="64"/>
      <c r="E65" s="83"/>
      <c r="G65" s="64"/>
    </row>
    <row r="66" spans="1:7" ht="14.4" customHeight="1" x14ac:dyDescent="0.25">
      <c r="D66" s="64"/>
      <c r="E66" s="83"/>
      <c r="G66" s="64"/>
    </row>
    <row r="67" spans="1:7" ht="14.4" customHeight="1" x14ac:dyDescent="0.25">
      <c r="D67" s="64"/>
      <c r="E67" s="83"/>
      <c r="G67" s="64"/>
    </row>
    <row r="68" spans="1:7" ht="14.4" customHeight="1" x14ac:dyDescent="0.25">
      <c r="D68" s="64"/>
      <c r="E68" s="83"/>
      <c r="G68" s="64"/>
    </row>
    <row r="69" spans="1:7" ht="14.4" customHeight="1" x14ac:dyDescent="0.25">
      <c r="D69" s="64"/>
      <c r="E69" s="83"/>
      <c r="G69" s="64"/>
    </row>
    <row r="70" spans="1:7" ht="14.4" customHeight="1" x14ac:dyDescent="0.25">
      <c r="D70" s="64"/>
      <c r="E70" s="83"/>
      <c r="G70" s="64"/>
    </row>
    <row r="71" spans="1:7" ht="14.4" customHeight="1" x14ac:dyDescent="0.25">
      <c r="D71" s="64"/>
      <c r="E71" s="83"/>
      <c r="G71" s="64"/>
    </row>
    <row r="72" spans="1:7" ht="14.4" customHeight="1" x14ac:dyDescent="0.25">
      <c r="A72" t="s">
        <v>219</v>
      </c>
      <c r="D72" s="64"/>
      <c r="E72" s="83"/>
      <c r="G72" s="64"/>
    </row>
    <row r="73" spans="1:7" ht="14.4" customHeight="1" x14ac:dyDescent="0.25">
      <c r="D73" s="64"/>
      <c r="E73" s="83"/>
      <c r="G73" s="64"/>
    </row>
    <row r="74" spans="1:7" ht="14.4" customHeight="1" x14ac:dyDescent="0.25">
      <c r="D74" s="64"/>
      <c r="E74" s="83"/>
      <c r="G74" s="64"/>
    </row>
    <row r="75" spans="1:7" ht="14.4" customHeight="1" x14ac:dyDescent="0.25">
      <c r="D75" s="64"/>
      <c r="E75" s="83"/>
      <c r="G75" s="64"/>
    </row>
    <row r="76" spans="1:7" ht="14.4" customHeight="1" x14ac:dyDescent="0.25">
      <c r="D76" s="64"/>
      <c r="E76" s="83"/>
      <c r="G76" s="64"/>
    </row>
    <row r="77" spans="1:7" ht="14.4" customHeight="1" x14ac:dyDescent="0.25">
      <c r="D77" s="64"/>
      <c r="E77" s="83"/>
      <c r="G77" s="64"/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4:7" ht="14.4" customHeight="1" x14ac:dyDescent="0.25">
      <c r="D81" s="64"/>
      <c r="E81" s="83"/>
      <c r="G81" s="64"/>
    </row>
    <row r="82" spans="4:7" ht="14.4" customHeight="1" x14ac:dyDescent="0.25">
      <c r="D82" s="64"/>
      <c r="E82" s="83"/>
      <c r="G82" s="64"/>
    </row>
    <row r="83" spans="4:7" ht="14.4" customHeight="1" x14ac:dyDescent="0.25">
      <c r="D83" s="64"/>
      <c r="E83" s="83"/>
      <c r="G83" s="64"/>
    </row>
    <row r="84" spans="4:7" ht="14.4" customHeight="1" x14ac:dyDescent="0.25">
      <c r="D84" s="64"/>
      <c r="E84" s="83"/>
      <c r="G84" s="64"/>
    </row>
    <row r="85" spans="4:7" ht="14.4" customHeight="1" x14ac:dyDescent="0.25">
      <c r="D85" s="64"/>
      <c r="E85" s="83"/>
      <c r="G85" s="64"/>
    </row>
    <row r="86" spans="4:7" ht="14.4" customHeight="1" x14ac:dyDescent="0.25">
      <c r="D86" s="64"/>
      <c r="E86" s="83"/>
      <c r="G86" s="64"/>
    </row>
    <row r="87" spans="4:7" ht="14.4" customHeight="1" x14ac:dyDescent="0.25">
      <c r="D87" s="64"/>
      <c r="E87" s="83"/>
      <c r="G87" s="64"/>
    </row>
    <row r="88" spans="4:7" ht="14.4" customHeight="1" x14ac:dyDescent="0.25">
      <c r="D88" s="64"/>
      <c r="E88" s="83"/>
      <c r="G88" s="64"/>
    </row>
    <row r="89" spans="4:7" ht="14.4" customHeight="1" x14ac:dyDescent="0.25">
      <c r="D89" s="64"/>
      <c r="E89" s="83"/>
      <c r="G89" s="64"/>
    </row>
    <row r="90" spans="4:7" ht="14.4" customHeight="1" x14ac:dyDescent="0.25">
      <c r="D90" s="64"/>
      <c r="E90" s="83"/>
      <c r="G90" s="64"/>
    </row>
    <row r="91" spans="4:7" ht="14.4" customHeight="1" x14ac:dyDescent="0.25">
      <c r="D91" s="64"/>
      <c r="E91" s="83"/>
      <c r="G91" s="64"/>
    </row>
    <row r="92" spans="4:7" ht="14.4" customHeight="1" x14ac:dyDescent="0.25">
      <c r="D92" s="64"/>
      <c r="E92" s="83"/>
      <c r="G92" s="64"/>
    </row>
    <row r="93" spans="4:7" ht="14.4" customHeight="1" x14ac:dyDescent="0.25">
      <c r="D93" s="64"/>
      <c r="E93" s="83"/>
      <c r="G93" s="64"/>
    </row>
    <row r="94" spans="4:7" ht="14.4" customHeight="1" x14ac:dyDescent="0.25">
      <c r="D94" s="64"/>
      <c r="E94" s="83"/>
      <c r="G94" s="64"/>
    </row>
    <row r="95" spans="4:7" ht="14.4" customHeight="1" x14ac:dyDescent="0.25">
      <c r="D95" s="64"/>
      <c r="E95" s="83"/>
      <c r="G95" s="64"/>
    </row>
    <row r="96" spans="4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42:D4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0.70582499999999992</v>
      </c>
      <c r="C4" s="57" t="s">
        <v>36</v>
      </c>
      <c r="D4" s="87">
        <v>0.41499999999999998</v>
      </c>
      <c r="E4" s="57" t="s">
        <v>41</v>
      </c>
      <c r="F4" s="86">
        <v>0.90429999999999988</v>
      </c>
      <c r="G4" s="57" t="s">
        <v>42</v>
      </c>
      <c r="H4" s="86">
        <v>0.53851300000000002</v>
      </c>
      <c r="I4" s="57"/>
      <c r="J4" s="88"/>
    </row>
    <row r="5" spans="1:10" ht="15.75" customHeight="1" x14ac:dyDescent="0.25">
      <c r="A5" s="57" t="s">
        <v>62</v>
      </c>
      <c r="B5" s="86">
        <v>0.130439</v>
      </c>
      <c r="C5" s="57" t="s">
        <v>63</v>
      </c>
      <c r="D5" s="87">
        <v>0.41299999999999998</v>
      </c>
      <c r="E5" s="57" t="s">
        <v>64</v>
      </c>
      <c r="F5" s="87">
        <v>1.8616999999999999</v>
      </c>
      <c r="G5" s="57" t="s">
        <v>65</v>
      </c>
      <c r="H5" s="86">
        <v>0.30830999999999997</v>
      </c>
      <c r="I5" s="57"/>
      <c r="J5" s="88"/>
    </row>
    <row r="6" spans="1:10" ht="15" customHeight="1" x14ac:dyDescent="0.25">
      <c r="A6" s="57" t="s">
        <v>66</v>
      </c>
      <c r="B6" s="86">
        <v>0.44526899999999997</v>
      </c>
      <c r="C6" s="57" t="s">
        <v>39</v>
      </c>
      <c r="D6" s="89">
        <v>0.1537</v>
      </c>
      <c r="E6" s="57" t="s">
        <v>67</v>
      </c>
      <c r="F6" s="87">
        <v>111.3802</v>
      </c>
      <c r="G6" s="57" t="s">
        <v>45</v>
      </c>
      <c r="H6" s="86">
        <v>0.135384</v>
      </c>
      <c r="I6" s="57"/>
      <c r="J6" s="88"/>
    </row>
    <row r="7" spans="1:10" ht="14.25" customHeight="1" x14ac:dyDescent="0.25">
      <c r="A7" s="57" t="s">
        <v>38</v>
      </c>
      <c r="B7" s="89">
        <v>1.9041742579118552</v>
      </c>
      <c r="C7" s="57" t="s">
        <v>68</v>
      </c>
      <c r="D7" s="89">
        <v>2.4487000000000001</v>
      </c>
      <c r="E7" s="57" t="s">
        <v>69</v>
      </c>
      <c r="F7" s="87">
        <v>1.0662</v>
      </c>
      <c r="G7" s="57" t="s">
        <v>70</v>
      </c>
      <c r="H7" s="86">
        <v>6.4817E-2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0.1239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25.548252345399998</v>
      </c>
      <c r="C12" s="57" t="s">
        <v>78</v>
      </c>
      <c r="D12" s="89">
        <v>106.2418960097</v>
      </c>
      <c r="E12" s="147" t="s">
        <v>79</v>
      </c>
      <c r="F12" s="120"/>
      <c r="G12" s="120"/>
      <c r="H12" s="148">
        <v>96.069905084699997</v>
      </c>
      <c r="I12" s="120"/>
      <c r="J12" s="120"/>
    </row>
    <row r="13" spans="1:10" ht="14.25" customHeight="1" x14ac:dyDescent="0.25">
      <c r="A13" s="57" t="s">
        <v>80</v>
      </c>
      <c r="B13" s="92">
        <v>69.571117654399998</v>
      </c>
      <c r="C13" s="57" t="s">
        <v>81</v>
      </c>
      <c r="D13" s="89">
        <v>76.2061352873</v>
      </c>
      <c r="E13" s="147" t="s">
        <v>82</v>
      </c>
      <c r="F13" s="120"/>
      <c r="G13" s="120"/>
      <c r="H13" s="148">
        <v>0.38347360700000005</v>
      </c>
      <c r="I13" s="120"/>
      <c r="J13" s="120"/>
    </row>
    <row r="14" spans="1:10" ht="14.25" customHeight="1" x14ac:dyDescent="0.25">
      <c r="A14" s="57" t="s">
        <v>83</v>
      </c>
      <c r="B14" s="92">
        <v>1.4753809803</v>
      </c>
      <c r="C14" s="57" t="s">
        <v>84</v>
      </c>
      <c r="D14" s="89">
        <v>49.029216290400001</v>
      </c>
      <c r="E14" s="147" t="s">
        <v>85</v>
      </c>
      <c r="F14" s="120"/>
      <c r="G14" s="120"/>
      <c r="H14" s="148">
        <v>98.847576373099997</v>
      </c>
      <c r="I14" s="120"/>
      <c r="J14" s="120"/>
    </row>
    <row r="15" spans="1:10" ht="14.25" customHeight="1" x14ac:dyDescent="0.25">
      <c r="A15" s="57" t="s">
        <v>86</v>
      </c>
      <c r="B15" s="92">
        <v>647.54430955140003</v>
      </c>
      <c r="C15" s="57" t="s">
        <v>87</v>
      </c>
      <c r="D15" s="89">
        <v>0</v>
      </c>
      <c r="E15" s="147" t="s">
        <v>88</v>
      </c>
      <c r="F15" s="120"/>
      <c r="G15" s="120"/>
      <c r="H15" s="148">
        <v>6.2286068688</v>
      </c>
      <c r="I15" s="120"/>
      <c r="J15" s="120"/>
    </row>
    <row r="16" spans="1:10" ht="14.25" customHeight="1" x14ac:dyDescent="0.25">
      <c r="A16" s="57" t="s">
        <v>89</v>
      </c>
      <c r="B16" s="92">
        <v>64.323771656899993</v>
      </c>
      <c r="C16" s="57" t="s">
        <v>90</v>
      </c>
      <c r="D16" s="89">
        <v>1.3970818398</v>
      </c>
      <c r="E16" s="147" t="s">
        <v>91</v>
      </c>
      <c r="F16" s="120"/>
      <c r="G16" s="120"/>
      <c r="H16" s="148">
        <v>1.6727062183000001</v>
      </c>
      <c r="I16" s="120"/>
      <c r="J16" s="120"/>
    </row>
    <row r="17" spans="1:10" ht="14.25" customHeight="1" x14ac:dyDescent="0.25">
      <c r="A17" s="57" t="s">
        <v>92</v>
      </c>
      <c r="B17" s="92">
        <v>9.4868578425999992</v>
      </c>
      <c r="C17" s="57" t="s">
        <v>93</v>
      </c>
      <c r="D17" s="89">
        <v>22.629957062500001</v>
      </c>
      <c r="E17" s="147" t="s">
        <v>94</v>
      </c>
      <c r="F17" s="120"/>
      <c r="G17" s="120"/>
      <c r="H17" s="148">
        <v>22.0404874277</v>
      </c>
      <c r="I17" s="120"/>
      <c r="J17" s="120"/>
    </row>
    <row r="18" spans="1:10" ht="14.25" customHeight="1" x14ac:dyDescent="0.25">
      <c r="A18" s="57" t="s">
        <v>95</v>
      </c>
      <c r="B18" s="92">
        <v>861.84030245029999</v>
      </c>
      <c r="C18" s="57" t="s">
        <v>96</v>
      </c>
      <c r="D18" s="89">
        <v>32.755445389400002</v>
      </c>
      <c r="E18" s="147" t="s">
        <v>97</v>
      </c>
      <c r="F18" s="120"/>
      <c r="G18" s="120"/>
      <c r="H18" s="148">
        <v>76.807088945399997</v>
      </c>
      <c r="I18" s="120"/>
      <c r="J18" s="120"/>
    </row>
    <row r="19" spans="1:10" ht="14.25" customHeight="1" x14ac:dyDescent="0.25">
      <c r="A19" s="57" t="s">
        <v>98</v>
      </c>
      <c r="B19" s="92">
        <v>149.74007483190002</v>
      </c>
      <c r="C19" s="57" t="s">
        <v>99</v>
      </c>
      <c r="D19" s="89">
        <v>34.127137366299998</v>
      </c>
      <c r="E19" s="147" t="s">
        <v>100</v>
      </c>
      <c r="F19" s="120"/>
      <c r="G19" s="120"/>
      <c r="H19" s="148">
        <v>-41.908789774299997</v>
      </c>
      <c r="I19" s="120"/>
      <c r="J19" s="120"/>
    </row>
    <row r="20" spans="1:10" ht="27" customHeight="1" x14ac:dyDescent="0.25">
      <c r="A20" s="57" t="s">
        <v>101</v>
      </c>
      <c r="B20" s="92">
        <v>37.326514188600001</v>
      </c>
      <c r="C20" s="57" t="s">
        <v>43</v>
      </c>
      <c r="D20" s="89">
        <v>30.663708381300001</v>
      </c>
      <c r="E20" s="147" t="s">
        <v>102</v>
      </c>
      <c r="F20" s="120"/>
      <c r="G20" s="120"/>
      <c r="H20" s="148">
        <v>19.093581739000001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347.88524168339995</v>
      </c>
      <c r="I21" s="120"/>
      <c r="J21" s="120"/>
    </row>
    <row r="22" spans="1:10" ht="14.25" customHeight="1" x14ac:dyDescent="0.25">
      <c r="A22" s="57" t="s">
        <v>105</v>
      </c>
      <c r="B22" s="92">
        <v>283.12267609580005</v>
      </c>
      <c r="C22" s="57"/>
      <c r="D22" s="93"/>
      <c r="E22" s="147" t="s">
        <v>106</v>
      </c>
      <c r="F22" s="120"/>
      <c r="G22" s="120"/>
      <c r="H22" s="148">
        <v>40</v>
      </c>
      <c r="I22" s="120"/>
      <c r="J22" s="120"/>
    </row>
    <row r="23" spans="1:10" ht="14.25" customHeight="1" x14ac:dyDescent="0.25">
      <c r="A23" s="57" t="s">
        <v>107</v>
      </c>
      <c r="B23" s="92">
        <v>11.3905670074</v>
      </c>
      <c r="C23" s="57"/>
      <c r="D23" s="93"/>
      <c r="E23" s="147" t="s">
        <v>108</v>
      </c>
      <c r="F23" s="120"/>
      <c r="G23" s="120"/>
      <c r="H23" s="148">
        <v>407.08088342240001</v>
      </c>
      <c r="I23" s="120"/>
      <c r="J23" s="120"/>
    </row>
    <row r="24" spans="1:10" ht="14.25" customHeight="1" x14ac:dyDescent="0.25">
      <c r="A24" s="57" t="s">
        <v>109</v>
      </c>
      <c r="B24" s="92">
        <v>608.30849044980005</v>
      </c>
      <c r="C24" s="94"/>
      <c r="D24" s="91"/>
      <c r="E24" s="147" t="s">
        <v>110</v>
      </c>
      <c r="F24" s="120"/>
      <c r="G24" s="120"/>
      <c r="H24" s="148">
        <v>399.45064576970003</v>
      </c>
      <c r="I24" s="120"/>
      <c r="J24" s="120"/>
    </row>
    <row r="25" spans="1:10" ht="14.25" customHeight="1" x14ac:dyDescent="0.25">
      <c r="A25" s="57" t="s">
        <v>111</v>
      </c>
      <c r="B25" s="92">
        <v>253.5318120005</v>
      </c>
      <c r="C25" s="94"/>
      <c r="D25" s="91"/>
      <c r="E25" s="147" t="s">
        <v>112</v>
      </c>
      <c r="F25" s="120"/>
      <c r="G25" s="120"/>
      <c r="H25" s="148">
        <v>432.35045802589997</v>
      </c>
      <c r="I25" s="120"/>
      <c r="J25" s="120"/>
    </row>
    <row r="26" spans="1:10" ht="14.25" customHeight="1" x14ac:dyDescent="0.25">
      <c r="A26" s="95" t="s">
        <v>113</v>
      </c>
      <c r="B26" s="92">
        <v>861.84030245029999</v>
      </c>
      <c r="C26" s="94"/>
      <c r="D26" s="91"/>
      <c r="E26" s="147" t="s">
        <v>114</v>
      </c>
      <c r="F26" s="120"/>
      <c r="G26" s="120"/>
      <c r="H26" s="148">
        <v>-25.269574603500001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220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263</v>
      </c>
      <c r="C2" s="43" t="s">
        <v>221</v>
      </c>
      <c r="D2" s="43" t="s">
        <v>272</v>
      </c>
      <c r="E2" s="43" t="s">
        <v>273</v>
      </c>
      <c r="F2" s="43" t="s">
        <v>274</v>
      </c>
      <c r="G2" s="43" t="s">
        <v>275</v>
      </c>
      <c r="H2" s="43" t="s">
        <v>276</v>
      </c>
      <c r="I2" s="43" t="s">
        <v>277</v>
      </c>
      <c r="J2" s="43" t="s">
        <v>278</v>
      </c>
    </row>
    <row r="3" spans="1:10" x14ac:dyDescent="0.25">
      <c r="A3" s="54" t="s">
        <v>24</v>
      </c>
      <c r="B3" s="97" t="s">
        <v>25</v>
      </c>
      <c r="C3" s="98" t="s">
        <v>222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264</v>
      </c>
      <c r="C4" s="98" t="s">
        <v>222</v>
      </c>
      <c r="D4" s="99" t="s">
        <v>279</v>
      </c>
      <c r="E4" s="99" t="s">
        <v>264</v>
      </c>
      <c r="F4" s="99" t="s">
        <v>279</v>
      </c>
      <c r="G4" s="99" t="s">
        <v>264</v>
      </c>
      <c r="H4" s="99" t="s">
        <v>279</v>
      </c>
      <c r="I4" s="99" t="s">
        <v>264</v>
      </c>
      <c r="J4" s="99" t="s">
        <v>264</v>
      </c>
    </row>
    <row r="5" spans="1:10" s="7" customFormat="1" x14ac:dyDescent="0.25">
      <c r="A5" s="9" t="s">
        <v>29</v>
      </c>
      <c r="B5" s="100" t="s">
        <v>30</v>
      </c>
      <c r="C5" s="98" t="s">
        <v>222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861.84030245029999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0.70582499999999992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0.41499999999999998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1.9041742579118552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0.1537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106.2418960097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0.90429999999999988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0.53851300000000002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30.663708381300001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0.135384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76.807088945399997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223</v>
      </c>
      <c r="B1" s="124"/>
      <c r="C1" s="124"/>
      <c r="D1" s="124"/>
      <c r="E1" s="124"/>
      <c r="F1" s="124"/>
    </row>
    <row r="2" spans="1:6" x14ac:dyDescent="0.25">
      <c r="A2" s="51" t="s">
        <v>224</v>
      </c>
      <c r="B2" s="50" t="s">
        <v>225</v>
      </c>
      <c r="C2" s="50" t="s">
        <v>226</v>
      </c>
      <c r="D2" s="50" t="s">
        <v>227</v>
      </c>
      <c r="E2" s="50" t="s">
        <v>195</v>
      </c>
      <c r="F2" s="50" t="s">
        <v>228</v>
      </c>
    </row>
    <row r="3" spans="1:6" ht="48" customHeight="1" x14ac:dyDescent="0.25">
      <c r="A3" s="104">
        <v>43237</v>
      </c>
      <c r="B3" s="52" t="s">
        <v>229</v>
      </c>
      <c r="C3" s="105"/>
      <c r="D3" s="105" t="s">
        <v>230</v>
      </c>
      <c r="E3" s="52" t="s">
        <v>231</v>
      </c>
      <c r="F3" s="105" t="s">
        <v>232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233</v>
      </c>
      <c r="B19" s="143"/>
      <c r="C19" s="143"/>
      <c r="D19" s="143"/>
      <c r="E19" s="143"/>
      <c r="F19" s="143"/>
    </row>
    <row r="20" spans="1:6" x14ac:dyDescent="0.25">
      <c r="A20" s="84" t="s">
        <v>224</v>
      </c>
      <c r="B20" s="84" t="s">
        <v>225</v>
      </c>
      <c r="C20" s="84" t="s">
        <v>234</v>
      </c>
      <c r="D20" s="84" t="s">
        <v>235</v>
      </c>
      <c r="E20" s="84" t="s">
        <v>195</v>
      </c>
      <c r="F20" s="84" t="s">
        <v>228</v>
      </c>
    </row>
    <row r="21" spans="1:6" x14ac:dyDescent="0.25">
      <c r="A21" s="107">
        <v>43427</v>
      </c>
      <c r="B21" s="58" t="s">
        <v>236</v>
      </c>
      <c r="C21" s="108" t="s">
        <v>237</v>
      </c>
      <c r="D21" s="108"/>
      <c r="E21" s="58" t="s">
        <v>201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238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239</v>
      </c>
      <c r="B2" s="55" t="s">
        <v>240</v>
      </c>
      <c r="C2" s="55" t="s">
        <v>241</v>
      </c>
      <c r="D2" s="55" t="s">
        <v>242</v>
      </c>
      <c r="E2" s="55" t="s">
        <v>243</v>
      </c>
      <c r="F2" s="55" t="s">
        <v>244</v>
      </c>
      <c r="G2" s="55" t="s">
        <v>245</v>
      </c>
      <c r="H2" s="55" t="s">
        <v>16</v>
      </c>
      <c r="I2" s="55" t="s">
        <v>246</v>
      </c>
      <c r="J2" s="55" t="s">
        <v>247</v>
      </c>
      <c r="K2" s="55" t="s">
        <v>248</v>
      </c>
      <c r="L2" s="55" t="s">
        <v>249</v>
      </c>
      <c r="M2" s="55" t="s">
        <v>19</v>
      </c>
      <c r="N2" s="55" t="s">
        <v>250</v>
      </c>
      <c r="O2" s="3"/>
      <c r="P2" s="110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11" t="str">
        <f>[1]!b_info_name(L3)</f>
        <v>19华能新能SCP004</v>
      </c>
      <c r="B3" s="2" t="str">
        <f>[1]!b_issue_firstissue(L3)</f>
        <v>2019-04-19</v>
      </c>
      <c r="C3" s="111">
        <f>[1]!b_info_term(L3)</f>
        <v>0.24660000000000001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联合资信评估有限公司</v>
      </c>
      <c r="G3" s="113">
        <f>[1]!b_agency_guarantor(L3)</f>
        <v>0</v>
      </c>
      <c r="H3" s="114" t="s">
        <v>251</v>
      </c>
      <c r="I3" s="66"/>
      <c r="J3" s="115" t="s">
        <v>251</v>
      </c>
      <c r="K3" s="116"/>
      <c r="L3" s="41" t="str">
        <f>公式页!A2</f>
        <v>d19041816.IB</v>
      </c>
      <c r="M3" s="114" t="s">
        <v>251</v>
      </c>
      <c r="N3" s="111" t="str">
        <f>[1]!b_agency_leadunderwriter(L3)</f>
        <v>北京银行股份有限公司</v>
      </c>
      <c r="P3" s="109" t="str">
        <f t="shared" ref="P3:P29" ca="1" si="0">$P$2</f>
        <v>2019-04-17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3.7271000000000001</v>
      </c>
      <c r="K4" s="116">
        <f>K3</f>
        <v>0</v>
      </c>
      <c r="L4" s="4" t="s">
        <v>252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2019-04-17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2019-04-17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2019-04-17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2019-04-17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2019-04-17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2019-04-17</v>
      </c>
    </row>
    <row r="10" spans="1:18" x14ac:dyDescent="0.25">
      <c r="P10" s="109" t="str">
        <f t="shared" ca="1" si="0"/>
        <v>2019-04-17</v>
      </c>
    </row>
    <row r="11" spans="1:18" x14ac:dyDescent="0.25">
      <c r="P11" s="109" t="str">
        <f t="shared" ca="1" si="0"/>
        <v>2019-04-17</v>
      </c>
    </row>
    <row r="12" spans="1:18" x14ac:dyDescent="0.25">
      <c r="A12" s="150" t="s">
        <v>253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2019-04-17</v>
      </c>
    </row>
    <row r="13" spans="1:18" s="1" customFormat="1" ht="43.2" customHeight="1" x14ac:dyDescent="0.25">
      <c r="A13" s="55" t="s">
        <v>239</v>
      </c>
      <c r="B13" s="55" t="s">
        <v>240</v>
      </c>
      <c r="C13" s="55" t="s">
        <v>241</v>
      </c>
      <c r="D13" s="55" t="s">
        <v>242</v>
      </c>
      <c r="E13" s="55" t="s">
        <v>243</v>
      </c>
      <c r="F13" s="55" t="s">
        <v>244</v>
      </c>
      <c r="G13" s="55" t="s">
        <v>245</v>
      </c>
      <c r="H13" s="55" t="s">
        <v>16</v>
      </c>
      <c r="I13" s="55" t="s">
        <v>246</v>
      </c>
      <c r="J13" s="55" t="s">
        <v>247</v>
      </c>
      <c r="K13" s="55" t="s">
        <v>248</v>
      </c>
      <c r="L13" s="55" t="s">
        <v>249</v>
      </c>
      <c r="M13" s="55" t="s">
        <v>19</v>
      </c>
      <c r="N13" s="55" t="s">
        <v>250</v>
      </c>
      <c r="P13" s="109" t="str">
        <f t="shared" ca="1" si="0"/>
        <v>2019-04-17</v>
      </c>
    </row>
    <row r="14" spans="1:18" ht="15.75" customHeight="1" x14ac:dyDescent="0.25">
      <c r="A14" s="111" t="str">
        <f>[1]!b_info_name(L14)</f>
        <v>19华能新能SCP004</v>
      </c>
      <c r="B14" s="2" t="str">
        <f>[1]!b_issue_firstissue(L14)</f>
        <v>2019-04-19</v>
      </c>
      <c r="C14" s="111">
        <f>[1]!b_info_term(L14)</f>
        <v>0.24660000000000001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联合资信评估有限公司</v>
      </c>
      <c r="G14" s="113">
        <f>[1]!b_agency_guarantor(L14)</f>
        <v>0</v>
      </c>
      <c r="H14" s="114" t="s">
        <v>251</v>
      </c>
      <c r="I14" s="66"/>
      <c r="J14" s="115" t="s">
        <v>251</v>
      </c>
      <c r="K14" s="116">
        <f>K3</f>
        <v>0</v>
      </c>
      <c r="L14" s="42" t="str">
        <f>L3</f>
        <v>d19041816.IB</v>
      </c>
      <c r="M14" s="114" t="s">
        <v>251</v>
      </c>
      <c r="N14" s="111" t="str">
        <f>[1]!b_agency_leadunderwriter(L14)</f>
        <v>北京银行股份有限公司</v>
      </c>
      <c r="P14" s="109" t="str">
        <f t="shared" ca="1" si="0"/>
        <v>2019-04-17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254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2019-04-17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255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2019-04-17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256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2019-04-17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257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2019-04-17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258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2019-04-17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259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2019-04-17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260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2019-04-17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261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2019-04-17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262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2019-04-17</v>
      </c>
    </row>
    <row r="24" spans="1:16" x14ac:dyDescent="0.25">
      <c r="P24" s="109" t="str">
        <f t="shared" ca="1" si="0"/>
        <v>2019-04-17</v>
      </c>
    </row>
    <row r="25" spans="1:16" x14ac:dyDescent="0.25">
      <c r="P25" s="109" t="str">
        <f t="shared" ca="1" si="0"/>
        <v>2019-04-17</v>
      </c>
    </row>
    <row r="26" spans="1:16" x14ac:dyDescent="0.25">
      <c r="P26" s="109" t="str">
        <f t="shared" ca="1" si="0"/>
        <v>2019-04-17</v>
      </c>
    </row>
    <row r="27" spans="1:16" x14ac:dyDescent="0.25">
      <c r="P27" s="109" t="str">
        <f t="shared" ca="1" si="0"/>
        <v>2019-04-17</v>
      </c>
    </row>
    <row r="28" spans="1:16" x14ac:dyDescent="0.25">
      <c r="P28" s="109" t="str">
        <f t="shared" ca="1" si="0"/>
        <v>2019-04-17</v>
      </c>
    </row>
    <row r="29" spans="1:16" x14ac:dyDescent="0.25">
      <c r="P29" s="109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2019-04-18T07:42:06Z</dcterms:modified>
</cp:coreProperties>
</file>