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9新券信评\"/>
    </mc:Choice>
  </mc:AlternateContent>
  <xr:revisionPtr revIDLastSave="0" documentId="13_ncr:1_{4CF746DF-CCEE-48F2-BA4B-52091348A576}"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A23" i="6"/>
  <c r="F22" i="6"/>
  <c r="N21" i="6"/>
  <c r="C21" i="6"/>
  <c r="H20" i="6"/>
  <c r="E19" i="6"/>
  <c r="M18" i="6"/>
  <c r="B18" i="6"/>
  <c r="G17" i="6"/>
  <c r="O16" i="6"/>
  <c r="D16" i="6"/>
  <c r="A15" i="6"/>
  <c r="D14" i="6"/>
  <c r="H9" i="6"/>
  <c r="E8" i="6"/>
  <c r="B7" i="6"/>
  <c r="H6" i="6"/>
  <c r="H5" i="6"/>
  <c r="E4"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H23" i="6"/>
  <c r="E22" i="6"/>
  <c r="M21" i="6"/>
  <c r="B21" i="6"/>
  <c r="G20" i="6"/>
  <c r="O19" i="6"/>
  <c r="D19" i="6"/>
  <c r="A18" i="6"/>
  <c r="F17" i="6"/>
  <c r="N16" i="6"/>
  <c r="C16" i="6"/>
  <c r="H15" i="6"/>
  <c r="C14" i="6"/>
  <c r="N9" i="6"/>
  <c r="E9" i="6"/>
  <c r="B8" i="6"/>
  <c r="G7" i="6"/>
  <c r="N6" i="6"/>
  <c r="G6" i="6"/>
  <c r="N5" i="6"/>
  <c r="E5" i="6"/>
  <c r="B4" i="6"/>
  <c r="D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E23" i="6"/>
  <c r="M22" i="6"/>
  <c r="B22" i="6"/>
  <c r="G21" i="6"/>
  <c r="O20" i="6"/>
  <c r="D20" i="6"/>
  <c r="A19" i="6"/>
  <c r="F18" i="6"/>
  <c r="N17" i="6"/>
  <c r="C17" i="6"/>
  <c r="H16" i="6"/>
  <c r="E15" i="6"/>
  <c r="D9" i="6"/>
  <c r="A8" i="6"/>
  <c r="F7" i="6"/>
  <c r="M6" i="6"/>
  <c r="D6" i="6"/>
  <c r="D5" i="6"/>
  <c r="A4" i="6"/>
  <c r="C3" i="6"/>
  <c r="M141" i="1"/>
  <c r="M139" i="1"/>
  <c r="M137" i="1"/>
  <c r="O135" i="1"/>
  <c r="M134" i="1"/>
  <c r="S132" i="1"/>
  <c r="O131" i="1"/>
  <c r="S130" i="1"/>
  <c r="M128" i="1"/>
  <c r="O127" i="1"/>
  <c r="M123" i="1"/>
  <c r="F113" i="1"/>
  <c r="D112" i="1"/>
  <c r="S110" i="1"/>
  <c r="D110" i="1"/>
  <c r="P103" i="1"/>
  <c r="O23" i="6"/>
  <c r="F21" i="6"/>
  <c r="G16" i="6"/>
  <c r="G14" i="6"/>
  <c r="A9" i="6"/>
  <c r="F4" i="6"/>
  <c r="S136" i="1"/>
  <c r="M131" i="1"/>
  <c r="F109" i="1"/>
  <c r="L103" i="1"/>
  <c r="R101" i="1"/>
  <c r="G101" i="1"/>
  <c r="Q100" i="1"/>
  <c r="L100" i="1"/>
  <c r="D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D23" i="6"/>
  <c r="N20" i="6"/>
  <c r="E18" i="6"/>
  <c r="O15" i="6"/>
  <c r="C7" i="6"/>
  <c r="M135" i="1"/>
  <c r="O130" i="1"/>
  <c r="M127" i="1"/>
  <c r="F111" i="1"/>
  <c r="J103" i="1"/>
  <c r="Q101" i="1"/>
  <c r="F101" i="1"/>
  <c r="P100" i="1"/>
  <c r="J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C20" i="6"/>
  <c r="M17" i="6"/>
  <c r="D15" i="6"/>
  <c r="F8" i="6"/>
  <c r="A5" i="6"/>
  <c r="Q2" i="6"/>
  <c r="S140" i="1"/>
  <c r="S133" i="1"/>
  <c r="S129" i="1"/>
  <c r="M110" i="1"/>
  <c r="E102" i="1"/>
  <c r="N101" i="1"/>
  <c r="C101" i="1"/>
  <c r="O100" i="1"/>
  <c r="F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A22" i="6"/>
  <c r="S138" i="1"/>
  <c r="B101" i="1"/>
  <c r="M99" i="1"/>
  <c r="J98" i="1"/>
  <c r="F97" i="1"/>
  <c r="D96" i="1"/>
  <c r="F93" i="1"/>
  <c r="B91" i="1"/>
  <c r="D88" i="1"/>
  <c r="F85" i="1"/>
  <c r="B83" i="1"/>
  <c r="D80" i="1"/>
  <c r="F77" i="1"/>
  <c r="B75" i="1"/>
  <c r="D72" i="1"/>
  <c r="F69" i="1"/>
  <c r="B67" i="1"/>
  <c r="D64" i="1"/>
  <c r="F61" i="1"/>
  <c r="B59" i="1"/>
  <c r="D56" i="1"/>
  <c r="F53" i="1"/>
  <c r="B51" i="1"/>
  <c r="D48" i="1"/>
  <c r="F45" i="1"/>
  <c r="F43" i="1"/>
  <c r="D42" i="1"/>
  <c r="B41" i="1"/>
  <c r="F39" i="1"/>
  <c r="E38" i="1"/>
  <c r="F37" i="1"/>
  <c r="F36" i="1"/>
  <c r="G35" i="1"/>
  <c r="B35" i="1"/>
  <c r="B34" i="1"/>
  <c r="C33" i="1"/>
  <c r="D32" i="1"/>
  <c r="D31" i="1"/>
  <c r="E30" i="1"/>
  <c r="Q29" i="1"/>
  <c r="J29" i="1"/>
  <c r="C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Q99" i="1"/>
  <c r="M97" i="1"/>
  <c r="F91" i="1"/>
  <c r="F83" i="1"/>
  <c r="D78" i="1"/>
  <c r="D70" i="1"/>
  <c r="F59" i="1"/>
  <c r="F51" i="1"/>
  <c r="G43" i="1"/>
  <c r="G39" i="1"/>
  <c r="B36" i="1"/>
  <c r="D33" i="1"/>
  <c r="F30" i="1"/>
  <c r="M29" i="1"/>
  <c r="E28" i="1"/>
  <c r="G27" i="1"/>
  <c r="L26" i="1"/>
  <c r="N25" i="1"/>
  <c r="P24" i="1"/>
  <c r="R23" i="1"/>
  <c r="C23" i="1"/>
  <c r="R21" i="1"/>
  <c r="C21" i="1"/>
  <c r="E20" i="1"/>
  <c r="G19" i="1"/>
  <c r="E18" i="1"/>
  <c r="C17" i="1"/>
  <c r="O15" i="1"/>
  <c r="E5" i="1"/>
  <c r="H19" i="6"/>
  <c r="O132" i="1"/>
  <c r="S112" i="1"/>
  <c r="O103" i="1"/>
  <c r="M100" i="1"/>
  <c r="F99" i="1"/>
  <c r="D98" i="1"/>
  <c r="B97" i="1"/>
  <c r="F95" i="1"/>
  <c r="B93" i="1"/>
  <c r="D90" i="1"/>
  <c r="F87" i="1"/>
  <c r="B85" i="1"/>
  <c r="D82" i="1"/>
  <c r="F79" i="1"/>
  <c r="B77" i="1"/>
  <c r="D74" i="1"/>
  <c r="F71" i="1"/>
  <c r="B69" i="1"/>
  <c r="D66" i="1"/>
  <c r="F63" i="1"/>
  <c r="B61" i="1"/>
  <c r="D58" i="1"/>
  <c r="F55" i="1"/>
  <c r="B53" i="1"/>
  <c r="D50" i="1"/>
  <c r="F47" i="1"/>
  <c r="B45" i="1"/>
  <c r="C43" i="1"/>
  <c r="G41" i="1"/>
  <c r="E40" i="1"/>
  <c r="C39" i="1"/>
  <c r="D38" i="1"/>
  <c r="D37" i="1"/>
  <c r="E36" i="1"/>
  <c r="F35" i="1"/>
  <c r="F34" i="1"/>
  <c r="G33" i="1"/>
  <c r="B33" i="1"/>
  <c r="B32" i="1"/>
  <c r="C31" i="1"/>
  <c r="D30" i="1"/>
  <c r="O29" i="1"/>
  <c r="G29" i="1"/>
  <c r="B29"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M7" i="6"/>
  <c r="O98" i="1"/>
  <c r="D94" i="1"/>
  <c r="D86" i="1"/>
  <c r="F75" i="1"/>
  <c r="F67" i="1"/>
  <c r="D62" i="1"/>
  <c r="D54" i="1"/>
  <c r="D46" i="1"/>
  <c r="C41" i="1"/>
  <c r="G37" i="1"/>
  <c r="C35" i="1"/>
  <c r="E32" i="1"/>
  <c r="D29" i="1"/>
  <c r="L28" i="1"/>
  <c r="N27" i="1"/>
  <c r="P26" i="1"/>
  <c r="R25" i="1"/>
  <c r="C25" i="1"/>
  <c r="E24" i="1"/>
  <c r="G23" i="1"/>
  <c r="E22" i="1"/>
  <c r="G21" i="1"/>
  <c r="L20" i="1"/>
  <c r="R19" i="1"/>
  <c r="C19" i="1"/>
  <c r="N17" i="1"/>
  <c r="F16" i="1"/>
  <c r="J15" i="1"/>
  <c r="B10" i="1"/>
  <c r="B17" i="6"/>
  <c r="C6" i="6"/>
  <c r="D102" i="1"/>
  <c r="E100" i="1"/>
  <c r="B99" i="1"/>
  <c r="Q97" i="1"/>
  <c r="O96" i="1"/>
  <c r="B95" i="1"/>
  <c r="D92" i="1"/>
  <c r="F89" i="1"/>
  <c r="B87" i="1"/>
  <c r="D84" i="1"/>
  <c r="F81" i="1"/>
  <c r="B79" i="1"/>
  <c r="D76" i="1"/>
  <c r="F73" i="1"/>
  <c r="B71" i="1"/>
  <c r="D68" i="1"/>
  <c r="F65" i="1"/>
  <c r="B63" i="1"/>
  <c r="D60" i="1"/>
  <c r="F57" i="1"/>
  <c r="B55" i="1"/>
  <c r="D52" i="1"/>
  <c r="F49" i="1"/>
  <c r="B47" i="1"/>
  <c r="D44" i="1"/>
  <c r="B43" i="1"/>
  <c r="F41" i="1"/>
  <c r="D40" i="1"/>
  <c r="B39" i="1"/>
  <c r="B38" i="1"/>
  <c r="C37" i="1"/>
  <c r="D36" i="1"/>
  <c r="D35" i="1"/>
  <c r="E34" i="1"/>
  <c r="F33" i="1"/>
  <c r="F32" i="1"/>
  <c r="G31" i="1"/>
  <c r="B31" i="1"/>
  <c r="B30" i="1"/>
  <c r="N29" i="1"/>
  <c r="F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M101" i="1"/>
  <c r="J96" i="1"/>
  <c r="B89" i="1"/>
  <c r="B81" i="1"/>
  <c r="B73" i="1"/>
  <c r="B65" i="1"/>
  <c r="B57" i="1"/>
  <c r="B49" i="1"/>
  <c r="E42" i="1"/>
  <c r="F38" i="1"/>
  <c r="B37" i="1"/>
  <c r="D34" i="1"/>
  <c r="F31" i="1"/>
  <c r="R29" i="1"/>
  <c r="P28" i="1"/>
  <c r="R27" i="1"/>
  <c r="C27" i="1"/>
  <c r="E26" i="1"/>
  <c r="G25" i="1"/>
  <c r="L24" i="1"/>
  <c r="N23" i="1"/>
  <c r="N21" i="1"/>
  <c r="P20" i="1"/>
  <c r="N19" i="1"/>
  <c r="R17" i="1"/>
  <c r="G17" i="1"/>
  <c r="B16" i="1"/>
  <c r="D15" i="1"/>
  <c r="F14" i="1"/>
  <c r="B14" i="1"/>
  <c r="B8" i="1"/>
  <c r="J22" i="1" l="1"/>
  <c r="O22" i="1"/>
  <c r="H112" i="1"/>
  <c r="D122" i="1"/>
  <c r="H128" i="1"/>
  <c r="L22" i="1"/>
  <c r="P22" i="1"/>
  <c r="B110" i="1"/>
  <c r="H119" i="1"/>
  <c r="H123" i="1"/>
  <c r="H130" i="1"/>
  <c r="P2" i="6"/>
  <c r="M22" i="1"/>
  <c r="Q22" i="1"/>
  <c r="B117" i="1"/>
  <c r="D120" i="1"/>
  <c r="B125" i="1"/>
  <c r="N22" i="1"/>
  <c r="R22" i="1"/>
  <c r="B121" i="1"/>
  <c r="H126" i="1"/>
  <c r="H110" i="1"/>
  <c r="D117" i="1"/>
  <c r="B118" i="1"/>
  <c r="H120" i="1"/>
  <c r="D121" i="1"/>
  <c r="H122" i="1"/>
  <c r="B124" i="1"/>
  <c r="D125" i="1"/>
  <c r="B127" i="1"/>
  <c r="B129" i="1"/>
  <c r="B131" i="1"/>
  <c r="B109" i="1"/>
  <c r="B111" i="1"/>
  <c r="B112" i="1"/>
  <c r="H117" i="1"/>
  <c r="D118" i="1"/>
  <c r="B119" i="1"/>
  <c r="H121" i="1"/>
  <c r="B123" i="1"/>
  <c r="D124" i="1"/>
  <c r="H125" i="1"/>
  <c r="H127" i="1"/>
  <c r="H129" i="1"/>
  <c r="H131" i="1"/>
  <c r="H109" i="1"/>
  <c r="H111" i="1"/>
  <c r="H118" i="1"/>
  <c r="D119" i="1"/>
  <c r="B120" i="1"/>
  <c r="B122" i="1"/>
  <c r="D123" i="1"/>
  <c r="H124" i="1"/>
  <c r="B126" i="1"/>
  <c r="B128" i="1"/>
  <c r="B130" i="1"/>
  <c r="J4" i="6"/>
  <c r="P29" i="6" l="1"/>
  <c r="P25" i="6"/>
  <c r="P21" i="6"/>
  <c r="P17" i="6"/>
  <c r="P11" i="6"/>
  <c r="P7" i="6"/>
  <c r="P3" i="6"/>
  <c r="P28" i="6"/>
  <c r="P24" i="6"/>
  <c r="P20" i="6"/>
  <c r="P16" i="6"/>
  <c r="P10" i="6"/>
  <c r="P6" i="6"/>
  <c r="P27" i="6"/>
  <c r="P19" i="6"/>
  <c r="P9" i="6"/>
  <c r="P8" i="6"/>
  <c r="P5" i="6"/>
  <c r="P4" i="6"/>
  <c r="P26" i="6"/>
  <c r="P22" i="6"/>
  <c r="P14" i="6"/>
  <c r="P23" i="6"/>
  <c r="P15" i="6"/>
  <c r="P13" i="6"/>
  <c r="P18" i="6"/>
  <c r="P12" i="6"/>
  <c r="J8" i="6"/>
  <c r="J15" i="6"/>
  <c r="J19" i="6"/>
  <c r="J17" i="6"/>
  <c r="J9" i="6"/>
  <c r="J22" i="6"/>
  <c r="J7" i="6"/>
  <c r="J16" i="6"/>
  <c r="J20" i="6"/>
  <c r="J23" i="6"/>
  <c r="J5" i="6"/>
  <c r="J18" i="6"/>
  <c r="J21" i="6"/>
  <c r="J6" i="6"/>
</calcChain>
</file>

<file path=xl/sharedStrings.xml><?xml version="1.0" encoding="utf-8"?>
<sst xmlns="http://schemas.openxmlformats.org/spreadsheetml/2006/main" count="549" uniqueCount="272">
  <si>
    <t>d19041811.IB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</si>
  <si>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</si>
  <si>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</si>
  <si>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</si>
  <si>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</si>
  <si>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</si>
  <si>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</si>
  <si>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</si>
  <si>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</si>
  <si>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</si>
  <si>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</si>
  <si>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</si>
  <si>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</si>
  <si>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</si>
  <si>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</si>
  <si>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</si>
  <si>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</si>
  <si>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</si>
  <si>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</si>
  <si>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</si>
  <si>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</si>
  <si>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</si>
  <si>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</si>
  <si>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1382201.IB</t>
  </si>
  <si>
    <t>主体级别</t>
  </si>
  <si>
    <t>AA</t>
  </si>
  <si>
    <t>125227.SH</t>
  </si>
  <si>
    <t>*选择性黏贴</t>
  </si>
  <si>
    <t>101459049.IB</t>
  </si>
  <si>
    <t>数据年度</t>
  </si>
  <si>
    <t>2017年</t>
  </si>
  <si>
    <t>101780009.IB</t>
  </si>
  <si>
    <t>总资产</t>
  </si>
  <si>
    <t>1282276.IB</t>
  </si>
  <si>
    <t>负债率</t>
  </si>
  <si>
    <t>101372003.IB</t>
  </si>
  <si>
    <t>流动比率</t>
  </si>
  <si>
    <t>1382249.IB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</si>
  <si>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</si>
  <si>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</si>
  <si>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</si>
  <si>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</si>
  <si>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</si>
  <si>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</si>
  <si>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</si>
  <si>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</si>
  <si>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</si>
  <si>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</si>
  <si>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</si>
  <si>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</si>
  <si>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</si>
  <si>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</si>
  <si>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</si>
  <si>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</si>
  <si>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</si>
  <si>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</si>
  <si>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</si>
  <si>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</si>
  <si>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</si>
  <si>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</si>
  <si>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</si>
  <si>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</si>
  <si>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</si>
  <si>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</si>
  <si>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</si>
  <si>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</si>
  <si>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</si>
  <si>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</si>
  <si>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</si>
  <si>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</si>
  <si>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</si>
  <si>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</si>
  <si>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</si>
  <si>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</si>
  <si>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</si>
  <si>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</si>
  <si>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</si>
  <si>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</si>
  <si>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</si>
  <si>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</si>
  <si>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</si>
  <si>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</si>
  <si>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</si>
  <si>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</si>
  <si>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</si>
  <si>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</si>
  <si>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</si>
  <si>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</si>
  <si>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</si>
  <si>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</si>
  <si>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</si>
  <si>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</si>
  <si>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</si>
  <si>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</si>
  <si>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</si>
  <si>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</si>
  <si>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</si>
  <si>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</si>
  <si>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</si>
  <si>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</si>
  <si>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</si>
  <si>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</si>
  <si>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</si>
  <si>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</si>
  <si>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</si>
  <si>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</si>
  <si>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</si>
  <si>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</si>
  <si>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</si>
  <si>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</si>
  <si>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</si>
  <si>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</si>
  <si>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</si>
  <si>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</si>
  <si>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</si>
  <si>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</si>
  <si>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</si>
  <si>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</si>
  <si>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</si>
  <si>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</si>
  <si>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</si>
  <si>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011900497.IB</t>
  </si>
  <si>
    <t>20190304</t>
  </si>
  <si>
    <t>19太仓水务SCP001</t>
  </si>
  <si>
    <t>151119.SH</t>
  </si>
  <si>
    <t>20190118</t>
  </si>
  <si>
    <t>19太水01</t>
  </si>
  <si>
    <t>150784.SH</t>
  </si>
  <si>
    <t>20181025</t>
  </si>
  <si>
    <t>18太水01</t>
  </si>
  <si>
    <t>011801637.IB</t>
  </si>
  <si>
    <t>20180822</t>
  </si>
  <si>
    <t>18太仓水务SCP005</t>
  </si>
  <si>
    <t>011801473.IB</t>
  </si>
  <si>
    <t>20180807</t>
  </si>
  <si>
    <t>18太仓水务SCP004</t>
  </si>
  <si>
    <t>011800888.IB</t>
  </si>
  <si>
    <t>20180502</t>
  </si>
  <si>
    <t>18太仓水务SCP003</t>
  </si>
  <si>
    <t>011800417.IB</t>
  </si>
  <si>
    <t>20180313</t>
  </si>
  <si>
    <t>18太仓水务SCP002</t>
  </si>
  <si>
    <t>011800359.IB</t>
  </si>
  <si>
    <t>20180307</t>
  </si>
  <si>
    <t>18太仓水务SCP001</t>
  </si>
  <si>
    <t>011760198.IB</t>
  </si>
  <si>
    <t>20171214</t>
  </si>
  <si>
    <t>17太仓水SCP007</t>
  </si>
  <si>
    <t>011760192.IB</t>
  </si>
  <si>
    <t>20171207</t>
  </si>
  <si>
    <t>17太仓水SCP006</t>
  </si>
  <si>
    <t>011760162.IB</t>
  </si>
  <si>
    <t>20171026</t>
  </si>
  <si>
    <t>17太仓水SCP005</t>
  </si>
  <si>
    <t>011760150.IB</t>
  </si>
  <si>
    <t>20170925</t>
  </si>
  <si>
    <t>17太仓水SCP004</t>
  </si>
  <si>
    <t>011760142.IB</t>
  </si>
  <si>
    <t>20170914</t>
  </si>
  <si>
    <t>17太仓水SCP003</t>
  </si>
  <si>
    <t>011760129.IB</t>
  </si>
  <si>
    <t>20170824</t>
  </si>
  <si>
    <t>17太仓水SCP002</t>
  </si>
  <si>
    <t>011760085.IB</t>
  </si>
  <si>
    <t>20170629</t>
  </si>
  <si>
    <t>17太仓水SCP001</t>
  </si>
  <si>
    <t>145343.SH</t>
  </si>
  <si>
    <t>20170216</t>
  </si>
  <si>
    <t>17太水01</t>
  </si>
  <si>
    <t>011698728.IB</t>
  </si>
  <si>
    <t>20161031</t>
  </si>
  <si>
    <t>16太仓水SCP001</t>
  </si>
  <si>
    <t>135376.SH</t>
  </si>
  <si>
    <t>20160608</t>
  </si>
  <si>
    <t>16太水01</t>
  </si>
  <si>
    <t>031572026.IB</t>
  </si>
  <si>
    <t>20151210</t>
  </si>
  <si>
    <t>15太仓水PPN001</t>
  </si>
  <si>
    <t>101461012.IB</t>
  </si>
  <si>
    <t>20140509</t>
  </si>
  <si>
    <t>14太仓水MTN001</t>
  </si>
  <si>
    <t>031490268.IB</t>
  </si>
  <si>
    <t>20140417</t>
  </si>
  <si>
    <t>14太仓水PPN001</t>
  </si>
  <si>
    <t>101361006.IB</t>
  </si>
  <si>
    <t>20130816</t>
  </si>
  <si>
    <t>13太仓水MTN001</t>
  </si>
  <si>
    <t>1282217.IB</t>
  </si>
  <si>
    <t>20120626</t>
  </si>
  <si>
    <t>12太仓水MTN1</t>
  </si>
  <si>
    <t>历史主体评级</t>
  </si>
  <si>
    <t>发布日期</t>
  </si>
  <si>
    <t>主体资信级别</t>
  </si>
  <si>
    <t>评级展望</t>
  </si>
  <si>
    <t>评级机构</t>
  </si>
  <si>
    <t>20181023</t>
  </si>
  <si>
    <t>--</t>
  </si>
  <si>
    <t>中诚信国际信用评级有限责任公司</t>
  </si>
  <si>
    <t>20180808</t>
  </si>
  <si>
    <t>稳定</t>
  </si>
  <si>
    <t>联合资信评估有限公司</t>
  </si>
  <si>
    <t>20170822</t>
  </si>
  <si>
    <t>20160725</t>
  </si>
  <si>
    <t>20151104</t>
  </si>
  <si>
    <t>20140620</t>
  </si>
  <si>
    <t>AA-</t>
  </si>
  <si>
    <t>20140325</t>
  </si>
  <si>
    <t>20130613</t>
  </si>
  <si>
    <t>20130524</t>
  </si>
  <si>
    <t>20121231</t>
  </si>
  <si>
    <t>20111221</t>
  </si>
  <si>
    <t>最新前五大股东（持股比例）</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</si>
  <si>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</si>
  <si>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</si>
  <si>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</si>
  <si>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</si>
  <si>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</si>
  <si>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</si>
  <si>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</si>
  <si>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</si>
  <si>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 xml:space="preserve"> 昆明滇池投资有限责任公司</t>
  </si>
  <si>
    <t>AA稳定上调至AA+稳定</t>
  </si>
  <si>
    <t>跟着期内，负责污水处理业务的子公司滇池水务在港交所上市，资本实力得到增强，同时新产能逐渐释放，营业收入大幅增长。公司土地一级开发业务也有较大规模的土地上市，带动营业总收入大幅增长。</t>
  </si>
  <si>
    <t>珠海水务环境控股集团有限公司</t>
  </si>
  <si>
    <t>公司的供水业务在珠海市具有市场垄断地位、污水处理价格逐年提升，污水处理业务前景良好、股东支持力度较强，公司债务逐年减少，资本结构不断优化和公司收入规模逐年增长，获现能力较好。</t>
  </si>
  <si>
    <t>上海水务资产经营发展有限公司</t>
  </si>
  <si>
    <t>上海远东资信评估有限公司</t>
  </si>
  <si>
    <t>上海水务继续获得地方各级政府较多财政拨款；且股东上海城投水务对其进行增资，资本实力进一步增强。同时，上海税务偿还了较多银行借款，总债务规模继续下降，债务负担有所减轻；财务费用亦大幅减少，盈利能力有所增强。此外上海水务货币资金充裕，可完全覆盖短期债务，短期偿债能力较强。</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</si>
  <si>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</si>
  <si>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</si>
  <si>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</si>
  <si>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</si>
  <si>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</si>
  <si>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</si>
  <si>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</si>
  <si>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</si>
  <si>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</si>
  <si>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</si>
  <si>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</si>
  <si>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</si>
  <si>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</si>
  <si>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</si>
  <si>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</si>
  <si>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</si>
  <si>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</si>
  <si>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</si>
  <si>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</si>
  <si>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</si>
  <si>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</si>
  <si>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</si>
  <si>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</si>
  <si>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</si>
  <si>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</si>
  <si>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</si>
  <si>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</si>
  <si>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</si>
  <si>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太仓市水务集团有限公司</t>
  </si>
  <si>
    <t>地方国有企业</t>
  </si>
  <si>
    <t>公用事业--公用事业Ⅱ--水务Ⅲ--水务</t>
  </si>
  <si>
    <t>江苏省苏州市城厢镇太平南路1号</t>
  </si>
  <si>
    <t>公司经太仓市建设委员会的同意，由太仓建设控股有限公司和太仓市资产经营投资有限公司共同出资组建。公司有着长远的发展战略,建成沿江地区技术最新、管理最优、环境最佳水厂，三水厂投入运营后，计划将原有二水厂改建为工业水厂，增加公司供水总量。计划2015年供水规模实现70万吨/日，销售收入超3亿元;继续加大污水管网建设，扩大污水处理覆盖范围，实现全市污水统一管理，为全市节能减排目标的实现、投资环境的提升作出贡献，计划2015年，污水处理费收入达到3亿元。公司的十二五发展战略思路为：以现有核心业务为重点，以做强做大供水、排水业务为主，其他业务为辅，在此基础上进行业务协同发展，逐步做强做大与主业发展相关的配套产业投资(中水回用、污泥处置等)。</t>
  </si>
  <si>
    <t>太仓市国有资产监督管理委员会</t>
  </si>
  <si>
    <t>国开发展基金有限公司</t>
  </si>
  <si>
    <t/>
  </si>
  <si>
    <t>杭州萧山环境集团有限公司</t>
  </si>
  <si>
    <t>重庆市南州水务(集团)有限公司</t>
  </si>
  <si>
    <t>西安水务(集团)有限责任公司</t>
  </si>
  <si>
    <t>怀化市水业投资总公司</t>
  </si>
  <si>
    <t>昆明自来水集团有限公司</t>
  </si>
  <si>
    <t>宁波原水集团有限公司</t>
  </si>
  <si>
    <t>钱江水利开发股份有限公司</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</si>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</sst>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太仓市水务集团有限公司</v>
      </c>
      <c r="C4" s="117"/>
      <c r="D4" s="57" t="s">
        <v>3</v>
      </c>
      <c r="E4" s="116" t="str">
        <f>[1]!s_info_nature(A2)</f>
        <v>地方国有企业</v>
      </c>
      <c r="F4" s="117"/>
      <c r="G4" s="117"/>
      <c r="H4" s="19"/>
    </row>
    <row r="5" spans="1:20" s="17" customFormat="1" ht="14.25" customHeight="1" x14ac:dyDescent="0.25">
      <c r="A5" s="57" t="s">
        <v>4</v>
      </c>
      <c r="B5" s="116" t="str">
        <f>[1]!b_issuer_windindustry(A2,9)</f>
        <v>公用事业--公用事业Ⅱ--水务Ⅲ--水务</v>
      </c>
      <c r="C5" s="117"/>
      <c r="D5" s="57" t="s">
        <v>5</v>
      </c>
      <c r="E5" s="116" t="str">
        <f>[1]!b_issuer_regaddress(A2)</f>
        <v>江苏省苏州市城厢镇太平南路1号</v>
      </c>
      <c r="F5" s="117"/>
      <c r="G5" s="117"/>
    </row>
    <row r="6" spans="1:20" s="17" customFormat="1" ht="81" customHeight="1" x14ac:dyDescent="0.25">
      <c r="A6" s="57" t="s">
        <v>6</v>
      </c>
      <c r="B6" s="118" t="str">
        <f>[1]!s_info_briefing(A2)</f>
        <v>公司经太仓市建设委员会的同意，由太仓建设控股有限公司和太仓市资产经营投资有限公司共同出资组建。公司有着长远的发展战略,建成沿江地区技术最新、管理最优、环境最佳水厂，三水厂投入运营后，计划将原有二水厂改建为工业水厂，增加公司供水总量。计划2015年供水规模实现70万吨/日，销售收入超3亿元;继续加大污水管网建设，扩大污水处理覆盖范围，实现全市污水统一管理，为全市节能减排目标的实现、投资环境的提升作出贡献，计划2015年，污水处理费收入达到3亿元。公司的十二五发展战略思路为：以现有核心业务为重点，以做强做大供水、排水业务为主，其他业务为辅，在此基础上进行业务协同发展，逐步做强做大与主业发展相关的配套产业投资(中水回用、污泥处置等)。</v>
      </c>
      <c r="C6" s="117"/>
      <c r="D6" s="117"/>
      <c r="E6" s="117"/>
      <c r="F6" s="117"/>
      <c r="G6" s="117"/>
    </row>
    <row r="7" spans="1:20" s="17" customFormat="1" x14ac:dyDescent="0.25">
      <c r="A7" s="58" t="s">
        <v>7</v>
      </c>
      <c r="B7" s="119" t="str">
        <f>[1]!b_issuer_shareholder(A2,"",1)</f>
        <v>太仓市国有资产监督管理委员会</v>
      </c>
      <c r="C7" s="117"/>
      <c r="D7" s="117"/>
      <c r="E7" s="117"/>
      <c r="F7" s="60">
        <f>[1]!b_issuer_propofshareholder($A$2,"",1)%</f>
        <v>0.95470001220703127</v>
      </c>
      <c r="G7" s="59"/>
      <c r="H7" s="20" t="s">
        <v>8</v>
      </c>
      <c r="M7" s="24">
        <v>42004</v>
      </c>
      <c r="N7" s="24">
        <v>42369</v>
      </c>
      <c r="O7" s="24">
        <v>41639</v>
      </c>
      <c r="P7" s="61" t="s">
        <v>9</v>
      </c>
      <c r="Q7" s="61" t="s">
        <v>10</v>
      </c>
      <c r="R7" s="61" t="s">
        <v>11</v>
      </c>
    </row>
    <row r="8" spans="1:20" s="17" customFormat="1" x14ac:dyDescent="0.25">
      <c r="A8" s="58"/>
      <c r="B8" s="119" t="str">
        <f>[1]!b_issuer_shareholder(A2,"",2)</f>
        <v>国开发展基金有限公司</v>
      </c>
      <c r="C8" s="117"/>
      <c r="D8" s="117"/>
      <c r="E8" s="117"/>
      <c r="F8" s="60">
        <f>[1]!b_issuer_propofshareholder($A$2,"",2)%</f>
        <v>4.5300002098083499E-2</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d19041811.IB</v>
      </c>
      <c r="K14" s="26"/>
      <c r="L14" s="27" t="str">
        <f>T15</f>
        <v>1382201.IB</v>
      </c>
      <c r="M14" s="27" t="str">
        <f>T16</f>
        <v>125227.SH</v>
      </c>
      <c r="N14" s="27" t="str">
        <f>T17</f>
        <v>101459049.IB</v>
      </c>
      <c r="O14" s="27" t="str">
        <f>T18</f>
        <v>101780009.IB</v>
      </c>
      <c r="P14" s="27" t="str">
        <f>T19</f>
        <v>1282276.IB</v>
      </c>
      <c r="Q14" s="27" t="str">
        <f>T20</f>
        <v>101372003.IB</v>
      </c>
      <c r="R14" s="5" t="str">
        <f>T21</f>
        <v>1382249.IB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太仓市水务集团有限公司</v>
      </c>
      <c r="K15" s="135"/>
      <c r="L15" s="8" t="str">
        <f>[1]!b_info_issuer(L14)</f>
        <v>杭州萧山环境集团有限公司</v>
      </c>
      <c r="M15" s="8" t="str">
        <f>[1]!b_info_issuer(M14)</f>
        <v>重庆市南州水务(集团)有限公司</v>
      </c>
      <c r="N15" s="8" t="str">
        <f>[1]!b_info_issuer(N14)</f>
        <v>西安水务(集团)有限责任公司</v>
      </c>
      <c r="O15" s="8" t="str">
        <f>[1]!b_info_issuer(O14)</f>
        <v>怀化市水业投资总公司</v>
      </c>
      <c r="P15" s="8" t="str">
        <f>[1]!b_info_issuer(P14)</f>
        <v>昆明自来水集团有限公司</v>
      </c>
      <c r="Q15" s="8" t="str">
        <f>[1]!b_info_issuer(Q14)</f>
        <v>宁波原水集团有限公司</v>
      </c>
      <c r="R15" s="8" t="str">
        <f>[1]!b_info_issuer(R14)</f>
        <v>钱江水利开发股份有限公司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中央国有企业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129.12702410110001</v>
      </c>
      <c r="K19" s="121"/>
      <c r="L19" s="67">
        <f>[1]!b_stm07_bs(L14,74,L13,1)/100000000</f>
        <v>108.91503323139999</v>
      </c>
      <c r="M19" s="67">
        <f>[1]!b_stm07_bs(M14,74,M13,1)/100000000</f>
        <v>192.86740731980001</v>
      </c>
      <c r="N19" s="67">
        <f>[1]!b_stm07_bs(N14,74,N13,1)/100000000</f>
        <v>137.0173476487</v>
      </c>
      <c r="O19" s="67">
        <f>[1]!b_stm07_bs(O14,74,O13,1)/100000000</f>
        <v>59.623029789700006</v>
      </c>
      <c r="P19" s="67">
        <f>[1]!b_stm07_bs(P14,74,P13,1)/100000000</f>
        <v>155.81203779399999</v>
      </c>
      <c r="Q19" s="67">
        <f>[1]!b_stm07_bs(Q14,74,Q13,1)/100000000</f>
        <v>68.586171512099995</v>
      </c>
      <c r="R19" s="67">
        <f>[1]!b_stm07_bs(R14,74,R13,1)/100000000</f>
        <v>48.345878183300002</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0.63498100000000002</v>
      </c>
      <c r="K20" s="121"/>
      <c r="L20" s="10">
        <f>[1]!s_fa_debttoassets(L14,L13)/100</f>
        <v>0.74512100000000003</v>
      </c>
      <c r="M20" s="10">
        <f>[1]!s_fa_debttoassets(M14,M13)/100</f>
        <v>0.41198099999999999</v>
      </c>
      <c r="N20" s="10">
        <f>[1]!s_fa_debttoassets(N14,N13)/100</f>
        <v>0.702762</v>
      </c>
      <c r="O20" s="10">
        <f>[1]!s_fa_debttoassets(O14,O13)/100</f>
        <v>0.37540100000000004</v>
      </c>
      <c r="P20" s="10">
        <f>[1]!s_fa_debttoassets(P14,P13)/100</f>
        <v>0.73713200000000001</v>
      </c>
      <c r="Q20" s="10">
        <f>[1]!s_fa_debttoassets(Q14,Q13)/100</f>
        <v>0.53301699999999996</v>
      </c>
      <c r="R20" s="10">
        <f>[1]!s_fa_debttoassets(R14,R13)/100</f>
        <v>0.54445500000000002</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1.2596000000000001</v>
      </c>
      <c r="K21" s="121"/>
      <c r="L21" s="67">
        <f>[1]!s_fa_current(L14,L13)</f>
        <v>1.1499999999999999</v>
      </c>
      <c r="M21" s="67">
        <f>[1]!s_fa_current(M14,M13)</f>
        <v>8.9196000000000009</v>
      </c>
      <c r="N21" s="67">
        <f>[1]!s_fa_current(N14,N13)</f>
        <v>0.67490000000000006</v>
      </c>
      <c r="O21" s="67">
        <f>[1]!s_fa_current(O14,O13)</f>
        <v>4.8402000000000003</v>
      </c>
      <c r="P21" s="67">
        <f>[1]!s_fa_current(P14,P13)</f>
        <v>0.38440000000000002</v>
      </c>
      <c r="Q21" s="67">
        <f>[1]!s_fa_current(Q14,Q13)</f>
        <v>0.64549999999999996</v>
      </c>
      <c r="R21" s="67">
        <f>[1]!s_fa_current(R14,R13)</f>
        <v>0.69469999999999998</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1.4432888910378343</v>
      </c>
      <c r="K22" s="121"/>
      <c r="L22" s="65">
        <f>(公式页!L96+公式页!L97+公式页!L98+公式页!L99+公式页!L100+公式页!L101)/公式页!L103</f>
        <v>0.71657200291669265</v>
      </c>
      <c r="M22" s="65">
        <f t="shared" ref="M22:R22" si="0">(M96+M97+M98+M99+M100+M101)/M103</f>
        <v>0.48031776431800505</v>
      </c>
      <c r="N22" s="65">
        <f t="shared" si="0"/>
        <v>1.3403327713441713</v>
      </c>
      <c r="O22" s="65">
        <f t="shared" si="0"/>
        <v>0.34369438354557019</v>
      </c>
      <c r="P22" s="65">
        <f t="shared" si="0"/>
        <v>1.4039144860030313</v>
      </c>
      <c r="Q22" s="65">
        <f t="shared" si="0"/>
        <v>0.56063639479159921</v>
      </c>
      <c r="R22" s="65">
        <f t="shared" si="0"/>
        <v>0.56478003856458459</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4.9399999999999999E-2</v>
      </c>
      <c r="K23" s="121"/>
      <c r="L23" s="67">
        <f>[1]!s_fa_ebitdatodebt(L14,L13)</f>
        <v>7.4899999999999994E-2</v>
      </c>
      <c r="M23" s="67">
        <f>[1]!s_fa_ebitdatodebt(M14,M13)</f>
        <v>6.0299999999999999E-2</v>
      </c>
      <c r="N23" s="67">
        <f>[1]!s_fa_ebitdatodebt(N14,N13)</f>
        <v>6.4799999999999996E-2</v>
      </c>
      <c r="O23" s="67">
        <f>[1]!s_fa_ebitdatodebt(O14,O13)</f>
        <v>0.11849999999999999</v>
      </c>
      <c r="P23" s="67">
        <f>[1]!s_fa_ebitdatodebt(P14,P13)</f>
        <v>6.13E-2</v>
      </c>
      <c r="Q23" s="67">
        <f>[1]!s_fa_ebitdatodebt(Q14,Q13)</f>
        <v>4.8800000000000003E-2</v>
      </c>
      <c r="R23" s="67">
        <f>[1]!s_fa_ebitdatodebt(R14,R13)</f>
        <v>0.214</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15.3285624578</v>
      </c>
      <c r="K24" s="121"/>
      <c r="L24" s="67">
        <f>[1]!b_stm07_is(L14,9,L13,1)/100000000</f>
        <v>17.837185994200002</v>
      </c>
      <c r="M24" s="67">
        <f>[1]!b_stm07_is(M14,9,M13,1)/100000000</f>
        <v>8.2092759029</v>
      </c>
      <c r="N24" s="67">
        <f>[1]!b_stm07_is(N14,9,N13,1)/100000000</f>
        <v>19.0715127498</v>
      </c>
      <c r="O24" s="67">
        <f>[1]!b_stm07_is(O14,9,O13,1)/100000000</f>
        <v>3.1497175924</v>
      </c>
      <c r="P24" s="67">
        <f>[1]!b_stm07_is(P14,9,P13,1)/100000000</f>
        <v>15.0737307785</v>
      </c>
      <c r="Q24" s="67">
        <f>[1]!b_stm07_is(Q14,9,Q13,1)/100000000</f>
        <v>4.8023633299000004</v>
      </c>
      <c r="R24" s="67">
        <f>[1]!b_stm07_is(R14,9,R13,1)/100000000</f>
        <v>9.8129245732000001</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1.2173</v>
      </c>
      <c r="K25" s="121"/>
      <c r="L25" s="11">
        <f>[1]!s_fa_salescashintoor(L14,L13)%</f>
        <v>1.1129</v>
      </c>
      <c r="M25" s="11">
        <f>[1]!s_fa_salescashintoor(M14,M13)%</f>
        <v>0.50390000000000001</v>
      </c>
      <c r="N25" s="11">
        <f>[1]!s_fa_salescashintoor(N14,N13)%</f>
        <v>1.0431999999999999</v>
      </c>
      <c r="O25" s="11">
        <f>[1]!s_fa_salescashintoor(O14,O13)%</f>
        <v>1.7228000000000001</v>
      </c>
      <c r="P25" s="11">
        <f>[1]!s_fa_salescashintoor(P14,P13)%</f>
        <v>1.0857000000000001</v>
      </c>
      <c r="Q25" s="11">
        <f>[1]!s_fa_salescashintoor(Q14,Q13)%</f>
        <v>0.94510000000000005</v>
      </c>
      <c r="R25" s="11">
        <f>[1]!s_fa_salescashintoor(R14,R13)%</f>
        <v>1.1122000000000001</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4.6022E-2</v>
      </c>
      <c r="K26" s="121"/>
      <c r="L26" s="11">
        <f>[1]!s_fa_grossprofitmargin(L14,L13)%</f>
        <v>0.24826599999999999</v>
      </c>
      <c r="M26" s="11">
        <f>[1]!s_fa_grossprofitmargin(M14,M13)%</f>
        <v>0.43629199999999996</v>
      </c>
      <c r="N26" s="11">
        <f>[1]!s_fa_grossprofitmargin(N14,N13)%</f>
        <v>0.212228</v>
      </c>
      <c r="O26" s="11">
        <f>[1]!s_fa_grossprofitmargin(O14,O13)%</f>
        <v>0.30670200000000003</v>
      </c>
      <c r="P26" s="11">
        <f>[1]!s_fa_grossprofitmargin(P14,P13)%</f>
        <v>7.9084000000000002E-2</v>
      </c>
      <c r="Q26" s="11">
        <f>[1]!s_fa_grossprofitmargin(Q14,Q13)%</f>
        <v>0.55071100000000006</v>
      </c>
      <c r="R26" s="11">
        <f>[1]!s_fa_grossprofitmargin(R14,R13)%</f>
        <v>0.38949800000000001</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0.15028098140000001</v>
      </c>
      <c r="K27" s="121"/>
      <c r="L27" s="68">
        <f>[1]!b_stm07_is(L14,60,L13,1)/100000000</f>
        <v>1.0351038834999999</v>
      </c>
      <c r="M27" s="68">
        <f>[1]!b_stm07_is(M14,60,M13,1)/100000000</f>
        <v>2.9902692296</v>
      </c>
      <c r="N27" s="68">
        <f>[1]!b_stm07_is(N14,60,N13,1)/100000000</f>
        <v>-0.9735670448</v>
      </c>
      <c r="O27" s="68">
        <f>[1]!b_stm07_is(O14,60,O13,1)/100000000</f>
        <v>1.1950322868000001</v>
      </c>
      <c r="P27" s="68">
        <f>[1]!b_stm07_is(P14,60,P13,1)/100000000</f>
        <v>-0.48597588670000003</v>
      </c>
      <c r="Q27" s="68">
        <f>[1]!b_stm07_is(Q14,60,Q13,1)/100000000</f>
        <v>5.2122207699999992E-2</v>
      </c>
      <c r="R27" s="68">
        <f>[1]!b_stm07_is(R14,60,R13,1)/100000000</f>
        <v>2.8834466186000003</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3.3599999999999998E-4</v>
      </c>
      <c r="K28" s="121"/>
      <c r="L28" s="10">
        <f>[1]!s_fa_roe(L14,L13)%</f>
        <v>3.7379999999999997E-2</v>
      </c>
      <c r="M28" s="10">
        <f>[1]!s_fa_roe(M14,M13)%</f>
        <v>2.6681E-2</v>
      </c>
      <c r="N28" s="10">
        <f>[1]!s_fa_roe(N14,N13)%</f>
        <v>-2.5602E-2</v>
      </c>
      <c r="O28" s="10">
        <f>[1]!s_fa_roe(O14,O13)%</f>
        <v>3.3126999999999997E-2</v>
      </c>
      <c r="P28" s="10">
        <f>[1]!s_fa_roe(P14,P13)%</f>
        <v>-2.2224000000000001E-2</v>
      </c>
      <c r="Q28" s="10">
        <f>[1]!s_fa_roe(Q14,Q13)%</f>
        <v>-2.2959999999999999E-3</v>
      </c>
      <c r="R28" s="10">
        <f>[1]!s_fa_roe(R14,R13)%</f>
        <v>4.0871999999999999E-2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0.38657624619999997</v>
      </c>
      <c r="K29" s="121"/>
      <c r="L29" s="68">
        <f>[1]!b_stm07_cs(L14,39,L13,1)/100000000</f>
        <v>10.2221155702</v>
      </c>
      <c r="M29" s="68">
        <f>[1]!b_stm07_cs(M14,39,M13,1)/100000000</f>
        <v>0.17057692579999997</v>
      </c>
      <c r="N29" s="68">
        <f>[1]!b_stm07_cs(N14,39,N13,1)/100000000</f>
        <v>8.8335499707</v>
      </c>
      <c r="O29" s="68">
        <f>[1]!b_stm07_cs(O14,39,O13,1)/100000000</f>
        <v>-0.67883666610000004</v>
      </c>
      <c r="P29" s="68">
        <f>[1]!b_stm07_cs(P14,39,P13,1)/100000000</f>
        <v>4.7468869172000003</v>
      </c>
      <c r="Q29" s="68">
        <f>[1]!b_stm07_cs(Q14,39,Q13,1)/100000000</f>
        <v>1.8910646916999998</v>
      </c>
      <c r="R29" s="68">
        <f>[1]!b_stm07_cs(R14,39,R13,1)/100000000</f>
        <v>2.5348239158000001</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2193796970</v>
      </c>
      <c r="K96" s="70"/>
      <c r="L96" s="70">
        <f>[1]!b_stm07_bs(L14,75,L13,1)</f>
        <v>154000000</v>
      </c>
      <c r="M96" s="70">
        <f>[1]!b_stm07_bs(M14,75,M13,1)</f>
        <v>0</v>
      </c>
      <c r="N96" s="70">
        <f>[1]!b_stm07_bs(N14,75,N13,1)</f>
        <v>1007003680</v>
      </c>
      <c r="O96" s="70">
        <f>[1]!b_stm07_bs(O14,75,O13,1)</f>
        <v>125200000</v>
      </c>
      <c r="P96" s="70">
        <f>[1]!b_stm07_bs(P14,75,P13,1)</f>
        <v>840000000</v>
      </c>
      <c r="Q96" s="70">
        <f>[1]!b_stm07_bs(Q14,75,Q13,1)</f>
        <v>708000000</v>
      </c>
      <c r="R96" s="70">
        <f>[1]!b_stm07_bs(R14,75,R13,1)</f>
        <v>149900000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0</v>
      </c>
      <c r="K97" s="70"/>
      <c r="L97" s="70">
        <f>[1]!b_stm07_bs(L14,82,L13,1)</f>
        <v>25758115.379999999</v>
      </c>
      <c r="M97" s="70">
        <f>[1]!b_stm07_bs(M14,82,M13,1)</f>
        <v>94147490.579999998</v>
      </c>
      <c r="N97" s="70">
        <f>[1]!b_stm07_bs(N14,82,N13,1)</f>
        <v>69490191</v>
      </c>
      <c r="O97" s="70">
        <f>[1]!b_stm07_bs(O14,82,O13,1)</f>
        <v>0</v>
      </c>
      <c r="P97" s="70">
        <f>[1]!b_stm07_bs(P14,82,P13,1)</f>
        <v>3000000</v>
      </c>
      <c r="Q97" s="70">
        <f>[1]!b_stm07_bs(Q14,82,Q13,1)</f>
        <v>13641666.539999999</v>
      </c>
      <c r="R97" s="70">
        <f>[1]!b_stm07_bs(R14,82,R13,1)</f>
        <v>1494539.82</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732102000</v>
      </c>
      <c r="K98" s="70"/>
      <c r="L98" s="70">
        <f>[1]!b_stm07_bs(L14,88,L13,1)</f>
        <v>262000000</v>
      </c>
      <c r="M98" s="70">
        <f>[1]!b_stm07_bs(M14,88,M13,1)</f>
        <v>365868113.23000002</v>
      </c>
      <c r="N98" s="70">
        <f>[1]!b_stm07_bs(N14,88,N13,1)</f>
        <v>594408509</v>
      </c>
      <c r="O98" s="70">
        <f>[1]!b_stm07_bs(O14,88,O13,1)</f>
        <v>591083.26</v>
      </c>
      <c r="P98" s="70">
        <f>[1]!b_stm07_bs(P14,88,P13,1)</f>
        <v>1936545346.4300001</v>
      </c>
      <c r="Q98" s="70">
        <f>[1]!b_stm07_bs(Q14,88,Q13,1)</f>
        <v>637814969.48000002</v>
      </c>
      <c r="R98" s="70">
        <f>[1]!b_stm07_bs(R14,88,R13,1)</f>
        <v>436082398.95999998</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2840746014</v>
      </c>
      <c r="K100" s="70"/>
      <c r="L100" s="70">
        <f>[1]!b_stm07_bs(L14,94,L13,1)</f>
        <v>647460000</v>
      </c>
      <c r="M100" s="70">
        <f>[1]!b_stm07_bs(M14,94,M13,1)</f>
        <v>1219400000</v>
      </c>
      <c r="N100" s="70">
        <f>[1]!b_stm07_bs(N14,94,N13,1)</f>
        <v>2694209678.04</v>
      </c>
      <c r="O100" s="70">
        <f>[1]!b_stm07_bs(O14,94,O13,1)</f>
        <v>144088916.74000001</v>
      </c>
      <c r="P100" s="70">
        <f>[1]!b_stm07_bs(P14,94,P13,1)</f>
        <v>2970603625.3699999</v>
      </c>
      <c r="Q100" s="70">
        <f>[1]!b_stm07_bs(Q14,94,Q13,1)</f>
        <v>436180000</v>
      </c>
      <c r="R100" s="70">
        <f>[1]!b_stm07_bs(R14,94,R13,1)</f>
        <v>247730000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1036125000</v>
      </c>
      <c r="K101" s="70"/>
      <c r="L101" s="70">
        <f>[1]!b_stm07_bs(L14,95,L13,1)</f>
        <v>900000000</v>
      </c>
      <c r="M101" s="70">
        <f>[1]!b_stm07_bs(M14,95,M13,1)</f>
        <v>3767851929.5100002</v>
      </c>
      <c r="N101" s="70">
        <f>[1]!b_stm07_bs(N14,95,N13,1)</f>
        <v>1093624782.8</v>
      </c>
      <c r="O101" s="70">
        <f>[1]!b_stm07_bs(O14,95,O13,1)</f>
        <v>1010055162.16</v>
      </c>
      <c r="P101" s="70">
        <f>[1]!b_stm07_bs(P14,95,P13,1)</f>
        <v>0</v>
      </c>
      <c r="Q101" s="70">
        <f>[1]!b_stm07_bs(Q14,95,Q13,1)</f>
        <v>0</v>
      </c>
      <c r="R101" s="70">
        <f>[1]!b_stm07_bs(R14,95,R13,1)</f>
        <v>408649230.56999999</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4713380686.46</v>
      </c>
      <c r="K103" s="70"/>
      <c r="L103" s="70">
        <f>[1]!b_stm07_bs(L14,141,L13,1)</f>
        <v>2776019865.8099999</v>
      </c>
      <c r="M103" s="70">
        <f>[1]!b_stm07_bs(M14,141,M13,1)</f>
        <v>11340966206.1</v>
      </c>
      <c r="N103" s="70">
        <f>[1]!b_stm07_bs(N14,141,N13,1)</f>
        <v>4072672814.9499998</v>
      </c>
      <c r="O103" s="70">
        <f>[1]!b_stm07_bs(O14,141,O13,1)</f>
        <v>3724050270.9299998</v>
      </c>
      <c r="P103" s="70">
        <f>[1]!b_stm07_bs(P14,141,P13,1)</f>
        <v>4095797165.0900002</v>
      </c>
      <c r="Q103" s="70">
        <f>[1]!b_stm07_bs(Q14,141,Q13,1)</f>
        <v>3202854207.6500001</v>
      </c>
      <c r="R103" s="70">
        <f>[1]!b_stm07_bs(R14,141,R13,1)</f>
        <v>2202372754.73</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d19041811.IB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0.63498100000000002</v>
      </c>
      <c r="C109" s="54" t="s">
        <v>36</v>
      </c>
      <c r="D109" s="71">
        <f>[1]!s_fa_current(A2,B2)</f>
        <v>1.2596000000000001</v>
      </c>
      <c r="E109" s="54" t="s">
        <v>41</v>
      </c>
      <c r="F109" s="72">
        <f>[1]!s_fa_salescashintoor(A2,B2)/100</f>
        <v>1.2173</v>
      </c>
      <c r="G109" s="54" t="s">
        <v>42</v>
      </c>
      <c r="H109" s="12">
        <f>S109/100</f>
        <v>4.6022E-2</v>
      </c>
      <c r="I109" s="54"/>
      <c r="J109" s="16"/>
      <c r="K109" s="25"/>
      <c r="L109" s="34" t="s">
        <v>61</v>
      </c>
      <c r="M109" s="73">
        <f>[1]!s_fa_debttoassets(A2,B2)</f>
        <v>63.498100000000001</v>
      </c>
      <c r="N109" s="54" t="s">
        <v>36</v>
      </c>
      <c r="O109" s="35"/>
      <c r="P109" s="54" t="s">
        <v>41</v>
      </c>
      <c r="Q109" s="35"/>
      <c r="R109" s="54" t="s">
        <v>42</v>
      </c>
      <c r="S109" s="74">
        <f>[1]!s_fa_grossprofitmargin(A2,B2)</f>
        <v>4.6021999999999998</v>
      </c>
    </row>
    <row r="110" spans="1:19" ht="15.75" customHeight="1" x14ac:dyDescent="0.25">
      <c r="A110" s="54" t="s">
        <v>62</v>
      </c>
      <c r="B110" s="12">
        <f>M110/100</f>
        <v>0.40759000000000001</v>
      </c>
      <c r="C110" s="54" t="s">
        <v>63</v>
      </c>
      <c r="D110" s="72">
        <f>[1]!s_fa_quick(A2,B2)</f>
        <v>1.2533000000000001</v>
      </c>
      <c r="E110" s="54" t="s">
        <v>64</v>
      </c>
      <c r="F110" s="71">
        <f>[1]!s_fa_arturn(A2,B2)</f>
        <v>32.254300000000001</v>
      </c>
      <c r="G110" s="54" t="s">
        <v>65</v>
      </c>
      <c r="H110" s="12">
        <f>S110/100</f>
        <v>1.5023E-2</v>
      </c>
      <c r="I110" s="54"/>
      <c r="J110" s="16"/>
      <c r="L110" s="54" t="s">
        <v>62</v>
      </c>
      <c r="M110" s="73">
        <f>[1]!s_fa_catoassets(A2,B2)</f>
        <v>40.759</v>
      </c>
      <c r="N110" s="54" t="s">
        <v>63</v>
      </c>
      <c r="O110" s="35"/>
      <c r="P110" s="54" t="s">
        <v>64</v>
      </c>
      <c r="Q110" s="72"/>
      <c r="R110" s="54" t="s">
        <v>65</v>
      </c>
      <c r="S110" s="74">
        <f>[1]!s_fa_optogr(A2,B2)</f>
        <v>1.5023</v>
      </c>
    </row>
    <row r="111" spans="1:19" ht="15" customHeight="1" x14ac:dyDescent="0.25">
      <c r="A111" s="54" t="s">
        <v>66</v>
      </c>
      <c r="B111" s="12">
        <f>M111/100</f>
        <v>0.50958499999999995</v>
      </c>
      <c r="C111" s="54" t="s">
        <v>39</v>
      </c>
      <c r="D111" s="72">
        <f>[1]!s_fa_ebitdatodebt(A2,B2)</f>
        <v>4.9399999999999999E-2</v>
      </c>
      <c r="E111" s="54" t="s">
        <v>67</v>
      </c>
      <c r="F111" s="71">
        <f>[1]!s_fa_invturn(A2,B2)</f>
        <v>36.918100000000003</v>
      </c>
      <c r="G111" s="54" t="s">
        <v>45</v>
      </c>
      <c r="H111" s="12">
        <f>S111/100</f>
        <v>3.3599999999999998E-4</v>
      </c>
      <c r="I111" s="54"/>
      <c r="J111" s="16"/>
      <c r="L111" s="54" t="s">
        <v>66</v>
      </c>
      <c r="M111" s="73">
        <f>[1]!s_fa_currentdebttodebt(A2,B2)</f>
        <v>50.958500000000001</v>
      </c>
      <c r="N111" s="54" t="s">
        <v>39</v>
      </c>
      <c r="O111" s="35"/>
      <c r="P111" s="54" t="s">
        <v>67</v>
      </c>
      <c r="Q111" s="35"/>
      <c r="R111" s="54" t="s">
        <v>45</v>
      </c>
      <c r="S111" s="74">
        <f>[1]!s_fa_roe(A2,B2)</f>
        <v>3.3599999999999998E-2</v>
      </c>
    </row>
    <row r="112" spans="1:19" ht="14.25" customHeight="1" x14ac:dyDescent="0.25">
      <c r="A112" s="54" t="s">
        <v>38</v>
      </c>
      <c r="B112" s="75">
        <f>(M116+M117+M118+M119+M120+M121)/M123</f>
        <v>1.4432888910378343</v>
      </c>
      <c r="C112" s="54" t="s">
        <v>68</v>
      </c>
      <c r="D112" s="72">
        <f>[1]!s_fa_ebittointerest(A2,B2)</f>
        <v>1.1083000000000001</v>
      </c>
      <c r="E112" s="54" t="s">
        <v>69</v>
      </c>
      <c r="F112" s="71">
        <f>[1]!s_fa_caturn(A2,B2)</f>
        <v>0.35260000000000002</v>
      </c>
      <c r="G112" s="54" t="s">
        <v>70</v>
      </c>
      <c r="H112" s="12">
        <f>S112/100</f>
        <v>2.0632000000000001E-2</v>
      </c>
      <c r="I112" s="54"/>
      <c r="J112" s="16"/>
      <c r="L112" s="54" t="s">
        <v>38</v>
      </c>
      <c r="M112" s="76"/>
      <c r="N112" s="54" t="s">
        <v>68</v>
      </c>
      <c r="O112" s="35"/>
      <c r="P112" s="54" t="s">
        <v>69</v>
      </c>
      <c r="Q112" s="35"/>
      <c r="R112" s="54" t="s">
        <v>70</v>
      </c>
      <c r="S112" s="74">
        <f>[1]!s_fa_roa2(A2,B2)</f>
        <v>2.0632000000000001</v>
      </c>
    </row>
    <row r="113" spans="1:21" x14ac:dyDescent="0.25">
      <c r="A113" s="30"/>
      <c r="B113" s="31"/>
      <c r="C113" s="30"/>
      <c r="D113" s="32"/>
      <c r="E113" s="30" t="s">
        <v>71</v>
      </c>
      <c r="F113" s="77">
        <f>[1]!s_fa_dupont_faturnover(A2,B2)</f>
        <v>0.1273</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2193796970</v>
      </c>
    </row>
    <row r="117" spans="1:21" ht="14.25" customHeight="1" x14ac:dyDescent="0.25">
      <c r="A117" s="54" t="s">
        <v>77</v>
      </c>
      <c r="B117" s="72">
        <f t="shared" ref="B117:B131" si="1">M127/100000000</f>
        <v>11.785497119</v>
      </c>
      <c r="C117" s="54" t="s">
        <v>78</v>
      </c>
      <c r="D117" s="75">
        <f t="shared" ref="D117:D125" si="2">O127/100000000</f>
        <v>15.3285624578</v>
      </c>
      <c r="E117" s="128" t="s">
        <v>79</v>
      </c>
      <c r="F117" s="121"/>
      <c r="G117" s="121"/>
      <c r="H117" s="129">
        <f t="shared" ref="H117:H131" si="3">S127/100000000</f>
        <v>18.6594127555</v>
      </c>
      <c r="I117" s="121"/>
      <c r="J117" s="121"/>
      <c r="L117" s="17" t="s">
        <v>48</v>
      </c>
      <c r="M117" s="70">
        <f>[1]!b_stm07_bs(K107,82,L107,1)</f>
        <v>0</v>
      </c>
    </row>
    <row r="118" spans="1:21" ht="14.25" customHeight="1" x14ac:dyDescent="0.25">
      <c r="A118" s="54" t="s">
        <v>80</v>
      </c>
      <c r="B118" s="72">
        <f t="shared" si="1"/>
        <v>0.55336258490000001</v>
      </c>
      <c r="C118" s="54" t="s">
        <v>81</v>
      </c>
      <c r="D118" s="75">
        <f t="shared" si="2"/>
        <v>17.958185829800001</v>
      </c>
      <c r="E118" s="128" t="s">
        <v>82</v>
      </c>
      <c r="F118" s="121"/>
      <c r="G118" s="121"/>
      <c r="H118" s="129">
        <f t="shared" si="3"/>
        <v>2.9720036891000001</v>
      </c>
      <c r="I118" s="121"/>
      <c r="J118" s="121"/>
      <c r="L118" s="17" t="s">
        <v>49</v>
      </c>
      <c r="M118" s="70">
        <f>[1]!b_stm07_bs(K107,88,L107,1)</f>
        <v>732102000</v>
      </c>
    </row>
    <row r="119" spans="1:21" ht="14.25" customHeight="1" x14ac:dyDescent="0.25">
      <c r="A119" s="54" t="s">
        <v>83</v>
      </c>
      <c r="B119" s="72">
        <f t="shared" si="1"/>
        <v>20.380196565199999</v>
      </c>
      <c r="C119" s="54" t="s">
        <v>84</v>
      </c>
      <c r="D119" s="75">
        <f t="shared" si="2"/>
        <v>14.623112391900001</v>
      </c>
      <c r="E119" s="128" t="s">
        <v>85</v>
      </c>
      <c r="F119" s="121"/>
      <c r="G119" s="121"/>
      <c r="H119" s="130">
        <f t="shared" si="3"/>
        <v>21.762806707900001</v>
      </c>
      <c r="I119" s="121"/>
      <c r="J119" s="121"/>
      <c r="L119" s="17" t="s">
        <v>50</v>
      </c>
      <c r="M119" s="70">
        <f>[1]!b_stm07_bs(K107,147,L107,1)</f>
        <v>0</v>
      </c>
    </row>
    <row r="120" spans="1:21" ht="14.25" customHeight="1" x14ac:dyDescent="0.25">
      <c r="A120" s="54" t="s">
        <v>86</v>
      </c>
      <c r="B120" s="72">
        <f t="shared" si="1"/>
        <v>26.806966174299998</v>
      </c>
      <c r="C120" s="54" t="s">
        <v>87</v>
      </c>
      <c r="D120" s="75">
        <f t="shared" si="2"/>
        <v>0.3580557379</v>
      </c>
      <c r="E120" s="128" t="s">
        <v>88</v>
      </c>
      <c r="F120" s="121"/>
      <c r="G120" s="121"/>
      <c r="H120" s="129">
        <f t="shared" si="3"/>
        <v>16.858192934600002</v>
      </c>
      <c r="I120" s="121"/>
      <c r="J120" s="121"/>
      <c r="L120" s="17" t="s">
        <v>51</v>
      </c>
      <c r="M120" s="70">
        <f>[1]!b_stm07_bs(K107,94,L107,1)</f>
        <v>2840746014</v>
      </c>
    </row>
    <row r="121" spans="1:21" ht="14.25" customHeight="1" x14ac:dyDescent="0.25">
      <c r="A121" s="54" t="s">
        <v>89</v>
      </c>
      <c r="B121" s="72">
        <f t="shared" si="1"/>
        <v>10.063836050700001</v>
      </c>
      <c r="C121" s="54" t="s">
        <v>90</v>
      </c>
      <c r="D121" s="75">
        <f t="shared" si="2"/>
        <v>0.57586700469999996</v>
      </c>
      <c r="E121" s="128" t="s">
        <v>91</v>
      </c>
      <c r="F121" s="121"/>
      <c r="G121" s="121"/>
      <c r="H121" s="129">
        <f t="shared" si="3"/>
        <v>3.7425293630000001</v>
      </c>
      <c r="I121" s="121"/>
      <c r="J121" s="121"/>
      <c r="L121" s="17" t="s">
        <v>52</v>
      </c>
      <c r="M121" s="70">
        <f>[1]!b_stm07_bs(K107,95,L107,1)</f>
        <v>1036125000</v>
      </c>
    </row>
    <row r="122" spans="1:21" ht="14.25" customHeight="1" x14ac:dyDescent="0.25">
      <c r="A122" s="54" t="s">
        <v>92</v>
      </c>
      <c r="B122" s="72">
        <f t="shared" si="1"/>
        <v>17.3105261129</v>
      </c>
      <c r="C122" s="54" t="s">
        <v>93</v>
      </c>
      <c r="D122" s="75">
        <f t="shared" si="2"/>
        <v>2.3871381550000002</v>
      </c>
      <c r="E122" s="128" t="s">
        <v>94</v>
      </c>
      <c r="F122" s="121"/>
      <c r="G122" s="121"/>
      <c r="H122" s="130">
        <f t="shared" si="3"/>
        <v>21.376230461700001</v>
      </c>
      <c r="I122" s="121"/>
      <c r="J122" s="121"/>
      <c r="L122" s="17"/>
      <c r="M122" s="17"/>
    </row>
    <row r="123" spans="1:21" ht="14.25" customHeight="1" x14ac:dyDescent="0.25">
      <c r="A123" s="54" t="s">
        <v>95</v>
      </c>
      <c r="B123" s="78">
        <f t="shared" si="1"/>
        <v>129.12702410110001</v>
      </c>
      <c r="C123" s="54" t="s">
        <v>96</v>
      </c>
      <c r="D123" s="75">
        <f t="shared" si="2"/>
        <v>0.23028367030000002</v>
      </c>
      <c r="E123" s="128" t="s">
        <v>97</v>
      </c>
      <c r="F123" s="121"/>
      <c r="G123" s="121"/>
      <c r="H123" s="130">
        <f t="shared" si="3"/>
        <v>0.38657624619999997</v>
      </c>
      <c r="I123" s="121"/>
      <c r="J123" s="121"/>
      <c r="L123" s="17" t="s">
        <v>53</v>
      </c>
      <c r="M123" s="70">
        <f>[1]!b_stm07_bs(K107,141,L107,1)</f>
        <v>4713380686.46</v>
      </c>
    </row>
    <row r="124" spans="1:21" ht="14.25" customHeight="1" x14ac:dyDescent="0.25">
      <c r="A124" s="54" t="s">
        <v>98</v>
      </c>
      <c r="B124" s="72">
        <f t="shared" si="1"/>
        <v>21.9379697</v>
      </c>
      <c r="C124" s="54" t="s">
        <v>99</v>
      </c>
      <c r="D124" s="75">
        <f t="shared" si="2"/>
        <v>0.24266565109999999</v>
      </c>
      <c r="E124" s="128" t="s">
        <v>100</v>
      </c>
      <c r="F124" s="121"/>
      <c r="G124" s="121"/>
      <c r="H124" s="130">
        <f t="shared" si="3"/>
        <v>-5.7720339263999998</v>
      </c>
      <c r="I124" s="121"/>
      <c r="J124" s="121"/>
      <c r="L124" s="17"/>
      <c r="M124" s="17"/>
    </row>
    <row r="125" spans="1:21" ht="27" customHeight="1" x14ac:dyDescent="0.25">
      <c r="A125" s="54" t="s">
        <v>101</v>
      </c>
      <c r="B125" s="72">
        <f t="shared" si="1"/>
        <v>7.3210199999999999</v>
      </c>
      <c r="C125" s="54" t="s">
        <v>43</v>
      </c>
      <c r="D125" s="75">
        <f t="shared" si="2"/>
        <v>0.15028098140000001</v>
      </c>
      <c r="E125" s="128" t="s">
        <v>102</v>
      </c>
      <c r="F125" s="121"/>
      <c r="G125" s="121"/>
      <c r="H125" s="129">
        <f t="shared" si="3"/>
        <v>0</v>
      </c>
      <c r="I125" s="121"/>
      <c r="J125" s="121"/>
      <c r="L125" s="17"/>
      <c r="M125" s="17"/>
    </row>
    <row r="126" spans="1:21" ht="16.5" customHeight="1" x14ac:dyDescent="0.25">
      <c r="A126" s="54" t="s">
        <v>103</v>
      </c>
      <c r="B126" s="72">
        <f t="shared" si="1"/>
        <v>0</v>
      </c>
      <c r="C126" s="54"/>
      <c r="D126" s="79"/>
      <c r="E126" s="128" t="s">
        <v>104</v>
      </c>
      <c r="F126" s="121"/>
      <c r="G126" s="121"/>
      <c r="H126" s="129">
        <f t="shared" si="3"/>
        <v>60.928456500000003</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28.407460140000001</v>
      </c>
      <c r="C127" s="54"/>
      <c r="D127" s="79"/>
      <c r="E127" s="128" t="s">
        <v>106</v>
      </c>
      <c r="F127" s="121"/>
      <c r="G127" s="121"/>
      <c r="H127" s="129">
        <f t="shared" si="3"/>
        <v>0</v>
      </c>
      <c r="I127" s="121"/>
      <c r="J127" s="121"/>
      <c r="L127" s="54" t="s">
        <v>77</v>
      </c>
      <c r="M127" s="74">
        <f>[1]!b_stm07_bs(K107,9,L107,1)</f>
        <v>1178549711.9000001</v>
      </c>
      <c r="N127" s="54" t="s">
        <v>78</v>
      </c>
      <c r="O127" s="74">
        <f>[1]!b_stm07_is(K107,83,L107,1)</f>
        <v>1532856245.78</v>
      </c>
      <c r="P127" s="128" t="s">
        <v>79</v>
      </c>
      <c r="Q127" s="121"/>
      <c r="R127" s="121"/>
      <c r="S127" s="133">
        <f>[1]!b_stm07_cs(K107,9,L107,1)</f>
        <v>1865941275.55</v>
      </c>
      <c r="T127" s="132"/>
      <c r="U127" s="132"/>
    </row>
    <row r="128" spans="1:21" ht="14.25" customHeight="1" x14ac:dyDescent="0.25">
      <c r="A128" s="54" t="s">
        <v>107</v>
      </c>
      <c r="B128" s="72">
        <f t="shared" si="1"/>
        <v>10.36125</v>
      </c>
      <c r="C128" s="54"/>
      <c r="D128" s="79"/>
      <c r="E128" s="128" t="s">
        <v>108</v>
      </c>
      <c r="F128" s="121"/>
      <c r="G128" s="121"/>
      <c r="H128" s="130">
        <f t="shared" si="3"/>
        <v>76.076239597799997</v>
      </c>
      <c r="I128" s="121"/>
      <c r="J128" s="121"/>
      <c r="L128" s="54" t="s">
        <v>80</v>
      </c>
      <c r="M128" s="74">
        <f>[1]!b_stm07_bs(K107,12,L107,1)</f>
        <v>55336258.490000002</v>
      </c>
      <c r="N128" s="54" t="s">
        <v>81</v>
      </c>
      <c r="O128" s="74">
        <f>[1]!b_stm07_is(K107,84,L107,1)</f>
        <v>1795818582.98</v>
      </c>
      <c r="P128" s="128" t="s">
        <v>82</v>
      </c>
      <c r="Q128" s="121"/>
      <c r="R128" s="121"/>
      <c r="S128" s="133">
        <f>[1]!b_stm07_cs(K107,11,L107,1)</f>
        <v>297200368.91000003</v>
      </c>
      <c r="T128" s="132"/>
      <c r="U128" s="132"/>
    </row>
    <row r="129" spans="1:21" ht="14.25" customHeight="1" x14ac:dyDescent="0.25">
      <c r="A129" s="54" t="s">
        <v>109</v>
      </c>
      <c r="B129" s="78">
        <f t="shared" si="1"/>
        <v>81.993217236500001</v>
      </c>
      <c r="C129" s="14"/>
      <c r="D129" s="13"/>
      <c r="E129" s="128" t="s">
        <v>110</v>
      </c>
      <c r="F129" s="121"/>
      <c r="G129" s="121"/>
      <c r="H129" s="129">
        <f t="shared" si="3"/>
        <v>40.247945933300002</v>
      </c>
      <c r="I129" s="121"/>
      <c r="J129" s="121"/>
      <c r="L129" s="54" t="s">
        <v>83</v>
      </c>
      <c r="M129" s="74">
        <f>[1]!b_stm07_bs(K107,13,L107,1)</f>
        <v>2038019656.52</v>
      </c>
      <c r="N129" s="54" t="s">
        <v>84</v>
      </c>
      <c r="O129" s="74">
        <f>[1]!b_stm07_is(K107,10,L107,1)</f>
        <v>1462311239.1900001</v>
      </c>
      <c r="P129" s="128" t="s">
        <v>85</v>
      </c>
      <c r="Q129" s="121"/>
      <c r="R129" s="121"/>
      <c r="S129" s="134">
        <f>[1]!b_stm07_cs(K107,25,L107,1)</f>
        <v>2176280670.79</v>
      </c>
      <c r="T129" s="132"/>
      <c r="U129" s="132"/>
    </row>
    <row r="130" spans="1:21" ht="14.25" customHeight="1" x14ac:dyDescent="0.25">
      <c r="A130" s="54" t="s">
        <v>111</v>
      </c>
      <c r="B130" s="78">
        <f t="shared" si="1"/>
        <v>47.133806864600004</v>
      </c>
      <c r="C130" s="14"/>
      <c r="D130" s="13"/>
      <c r="E130" s="128" t="s">
        <v>112</v>
      </c>
      <c r="F130" s="121"/>
      <c r="G130" s="121"/>
      <c r="H130" s="129">
        <f t="shared" si="3"/>
        <v>67.930836382400003</v>
      </c>
      <c r="I130" s="121"/>
      <c r="J130" s="121"/>
      <c r="L130" s="54" t="s">
        <v>86</v>
      </c>
      <c r="M130" s="74">
        <f>[1]!b_stm07_bs(K107,31,L107,1)</f>
        <v>2680696617.4299998</v>
      </c>
      <c r="N130" s="54" t="s">
        <v>87</v>
      </c>
      <c r="O130" s="74">
        <f>[1]!b_stm07_is(K107,12,L107,1)</f>
        <v>35805573.789999999</v>
      </c>
      <c r="P130" s="128" t="s">
        <v>88</v>
      </c>
      <c r="Q130" s="121"/>
      <c r="R130" s="121"/>
      <c r="S130" s="133">
        <f>[1]!b_stm07_cs(K107,26,L107,1)</f>
        <v>1685819293.46</v>
      </c>
      <c r="T130" s="132"/>
      <c r="U130" s="132"/>
    </row>
    <row r="131" spans="1:21" ht="14.25" customHeight="1" x14ac:dyDescent="0.25">
      <c r="A131" s="15" t="s">
        <v>113</v>
      </c>
      <c r="B131" s="78">
        <f t="shared" si="1"/>
        <v>129.12702410110001</v>
      </c>
      <c r="C131" s="14"/>
      <c r="D131" s="13"/>
      <c r="E131" s="128" t="s">
        <v>114</v>
      </c>
      <c r="F131" s="121"/>
      <c r="G131" s="121"/>
      <c r="H131" s="130">
        <f t="shared" si="3"/>
        <v>8.1454032154</v>
      </c>
      <c r="I131" s="121"/>
      <c r="J131" s="121"/>
      <c r="L131" s="54" t="s">
        <v>89</v>
      </c>
      <c r="M131" s="74">
        <f>[1]!b_stm07_bs(K107,33,L107,1)</f>
        <v>1006383605.0700001</v>
      </c>
      <c r="N131" s="54" t="s">
        <v>90</v>
      </c>
      <c r="O131" s="74">
        <f>[1]!b_stm07_is(K107,13,L107,1)</f>
        <v>57586700.469999999</v>
      </c>
      <c r="P131" s="128" t="s">
        <v>91</v>
      </c>
      <c r="Q131" s="121"/>
      <c r="R131" s="121"/>
      <c r="S131" s="133">
        <f>[1]!b_stm07_cs(K107,29,L107,1)</f>
        <v>374252936.30000001</v>
      </c>
      <c r="T131" s="132"/>
      <c r="U131" s="132"/>
    </row>
    <row r="132" spans="1:21" x14ac:dyDescent="0.25">
      <c r="L132" s="54" t="s">
        <v>92</v>
      </c>
      <c r="M132" s="74">
        <f>[1]!b_stm07_bs(K107,37,L107,1)</f>
        <v>1731052611.29</v>
      </c>
      <c r="N132" s="54" t="s">
        <v>93</v>
      </c>
      <c r="O132" s="74">
        <f>[1]!b_stm07_is(K107,14,L107,1)</f>
        <v>238713815.5</v>
      </c>
      <c r="P132" s="128" t="s">
        <v>94</v>
      </c>
      <c r="Q132" s="121"/>
      <c r="R132" s="121"/>
      <c r="S132" s="134">
        <f>[1]!b_stm07_cs(K107,37,L107,1)</f>
        <v>2137623046.1700001</v>
      </c>
      <c r="T132" s="132"/>
      <c r="U132" s="132"/>
    </row>
    <row r="133" spans="1:21" x14ac:dyDescent="0.25">
      <c r="L133" s="54" t="s">
        <v>95</v>
      </c>
      <c r="M133" s="80">
        <f>[1]!b_stm07_bs(K107,74,L107,1)</f>
        <v>12912702410.110001</v>
      </c>
      <c r="N133" s="54" t="s">
        <v>96</v>
      </c>
      <c r="O133" s="74">
        <f>[1]!b_stm07_is(K107,48,L107,1)</f>
        <v>23028367.030000001</v>
      </c>
      <c r="P133" s="128" t="s">
        <v>97</v>
      </c>
      <c r="Q133" s="121"/>
      <c r="R133" s="121"/>
      <c r="S133" s="134">
        <f>[1]!b_stm07_cs(K107,39,L107,1)</f>
        <v>38657624.619999997</v>
      </c>
      <c r="T133" s="132"/>
      <c r="U133" s="132"/>
    </row>
    <row r="134" spans="1:21" x14ac:dyDescent="0.25">
      <c r="L134" s="54" t="s">
        <v>98</v>
      </c>
      <c r="M134" s="74">
        <f>[1]!b_stm07_bs(K107,75,L107,1)</f>
        <v>2193796970</v>
      </c>
      <c r="N134" s="54" t="s">
        <v>99</v>
      </c>
      <c r="O134" s="74">
        <f>[1]!b_stm07_is(K107,55,L107,1)</f>
        <v>24266565.109999999</v>
      </c>
      <c r="P134" s="128" t="s">
        <v>100</v>
      </c>
      <c r="Q134" s="121"/>
      <c r="R134" s="121"/>
      <c r="S134" s="134">
        <f>[1]!b_stm07_cs(K107,59,L107,1)</f>
        <v>-577203392.63999999</v>
      </c>
      <c r="T134" s="132"/>
      <c r="U134" s="132"/>
    </row>
    <row r="135" spans="1:21" ht="32.4" customHeight="1" x14ac:dyDescent="0.25">
      <c r="L135" s="54" t="s">
        <v>101</v>
      </c>
      <c r="M135" s="74">
        <f>[1]!b_stm07_bs(K107,88,L107,1)</f>
        <v>732102000</v>
      </c>
      <c r="N135" s="54" t="s">
        <v>43</v>
      </c>
      <c r="O135" s="74">
        <f>[1]!b_stm07_is(K107,60,L107,1)</f>
        <v>15028098.140000001</v>
      </c>
      <c r="P135" s="128" t="s">
        <v>102</v>
      </c>
      <c r="Q135" s="121"/>
      <c r="R135" s="121"/>
      <c r="S135" s="133">
        <f>[1]!b_stm07_cs(K107,60,L107,1)</f>
        <v>0</v>
      </c>
      <c r="T135" s="132"/>
      <c r="U135" s="132"/>
    </row>
    <row r="136" spans="1:21" ht="21.6" customHeight="1" x14ac:dyDescent="0.25">
      <c r="L136" s="54" t="s">
        <v>103</v>
      </c>
      <c r="M136" s="74">
        <f>[1]!b_stm07_bs(K107,147,L107,1)</f>
        <v>0</v>
      </c>
      <c r="N136" s="54"/>
      <c r="O136" s="79"/>
      <c r="P136" s="128" t="s">
        <v>104</v>
      </c>
      <c r="Q136" s="121"/>
      <c r="R136" s="121"/>
      <c r="S136" s="133">
        <f>[1]!b_stm07_cs(K107,61,L107,1)</f>
        <v>6092845650</v>
      </c>
      <c r="T136" s="132"/>
      <c r="U136" s="132"/>
    </row>
    <row r="137" spans="1:21" x14ac:dyDescent="0.25">
      <c r="L137" s="54" t="s">
        <v>105</v>
      </c>
      <c r="M137" s="74">
        <f>[1]!b_stm07_bs(K107,94,L107,1)</f>
        <v>2840746014</v>
      </c>
      <c r="N137" s="54"/>
      <c r="O137" s="79"/>
      <c r="P137" s="128" t="s">
        <v>106</v>
      </c>
      <c r="Q137" s="121"/>
      <c r="R137" s="121"/>
      <c r="S137" s="133">
        <f>[1]!b_stm07_cs(K107,63,L107,1)</f>
        <v>0</v>
      </c>
      <c r="T137" s="132"/>
      <c r="U137" s="132"/>
    </row>
    <row r="138" spans="1:21" x14ac:dyDescent="0.25">
      <c r="L138" s="54" t="s">
        <v>107</v>
      </c>
      <c r="M138" s="74">
        <f>[1]!b_stm07_bs(K107,95,L107,1)</f>
        <v>1036125000</v>
      </c>
      <c r="N138" s="54"/>
      <c r="O138" s="79"/>
      <c r="P138" s="128" t="s">
        <v>108</v>
      </c>
      <c r="Q138" s="121"/>
      <c r="R138" s="121"/>
      <c r="S138" s="134">
        <f>[1]!b_stm07_cs(K107,68,L107,1)</f>
        <v>7607623959.7799997</v>
      </c>
      <c r="T138" s="132"/>
      <c r="U138" s="132"/>
    </row>
    <row r="139" spans="1:21" x14ac:dyDescent="0.25">
      <c r="L139" s="54" t="s">
        <v>109</v>
      </c>
      <c r="M139" s="80">
        <f>[1]!b_stm07_bs(K107,128,L107,1)</f>
        <v>8199321723.6499996</v>
      </c>
      <c r="N139" s="14"/>
      <c r="O139" s="13"/>
      <c r="P139" s="128" t="s">
        <v>110</v>
      </c>
      <c r="Q139" s="121"/>
      <c r="R139" s="121"/>
      <c r="S139" s="133">
        <f>[1]!b_stm07_cs(K107,69,L107,1)</f>
        <v>4024794593.3299999</v>
      </c>
      <c r="T139" s="132"/>
      <c r="U139" s="132"/>
    </row>
    <row r="140" spans="1:21" ht="21.6" customHeight="1" x14ac:dyDescent="0.25">
      <c r="L140" s="54" t="s">
        <v>111</v>
      </c>
      <c r="M140" s="80">
        <f>[1]!b_stm07_bs(K107,141,L107,1)</f>
        <v>4713380686.46</v>
      </c>
      <c r="N140" s="14"/>
      <c r="O140" s="13"/>
      <c r="P140" s="128" t="s">
        <v>112</v>
      </c>
      <c r="Q140" s="121"/>
      <c r="R140" s="121"/>
      <c r="S140" s="133">
        <f>[1]!b_stm07_cs(K107,75,L107,1)</f>
        <v>6793083638.2399998</v>
      </c>
      <c r="T140" s="132"/>
      <c r="U140" s="132"/>
    </row>
    <row r="141" spans="1:21" ht="21.6" customHeight="1" x14ac:dyDescent="0.25">
      <c r="L141" s="15" t="s">
        <v>113</v>
      </c>
      <c r="M141" s="80">
        <f>[1]!b_stm07_bs(K107,145,L107,1)</f>
        <v>12912702410.110001</v>
      </c>
      <c r="N141" s="14"/>
      <c r="O141" s="13"/>
      <c r="P141" s="128" t="s">
        <v>114</v>
      </c>
      <c r="Q141" s="121"/>
      <c r="R141" s="121"/>
      <c r="S141" s="134">
        <f>[1]!b_stm07_cs(K107,77,L107,1)</f>
        <v>814540321.53999996</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256</v>
      </c>
      <c r="C2" s="117"/>
      <c r="D2" s="57" t="s">
        <v>3</v>
      </c>
      <c r="E2" s="116" t="s">
        <v>257</v>
      </c>
      <c r="F2" s="117"/>
      <c r="G2" s="117"/>
    </row>
    <row r="3" spans="1:12" ht="14.25" customHeight="1" x14ac:dyDescent="0.25">
      <c r="A3" s="57" t="s">
        <v>4</v>
      </c>
      <c r="B3" s="116" t="s">
        <v>258</v>
      </c>
      <c r="C3" s="117"/>
      <c r="D3" s="57" t="s">
        <v>5</v>
      </c>
      <c r="E3" s="116" t="s">
        <v>259</v>
      </c>
      <c r="F3" s="117"/>
      <c r="G3" s="117"/>
    </row>
    <row r="4" spans="1:12" ht="113.25" customHeight="1" x14ac:dyDescent="0.25">
      <c r="A4" s="57" t="s">
        <v>6</v>
      </c>
      <c r="B4" s="118" t="s">
        <v>260</v>
      </c>
      <c r="C4" s="117"/>
      <c r="D4" s="117"/>
      <c r="E4" s="117"/>
      <c r="F4" s="117"/>
      <c r="G4" s="117"/>
    </row>
    <row r="5" spans="1:12" ht="14.4" x14ac:dyDescent="0.25">
      <c r="A5" s="81" t="s">
        <v>115</v>
      </c>
      <c r="B5" s="137" t="s">
        <v>261</v>
      </c>
      <c r="C5" s="117"/>
      <c r="D5" s="117"/>
      <c r="E5" s="117"/>
      <c r="F5" s="138">
        <v>0.95470001220703127</v>
      </c>
      <c r="G5" s="117"/>
    </row>
    <row r="6" spans="1:12" ht="11.25" customHeight="1" x14ac:dyDescent="0.25">
      <c r="A6" s="81" t="s">
        <v>116</v>
      </c>
      <c r="B6" s="137" t="s">
        <v>262</v>
      </c>
      <c r="C6" s="117"/>
      <c r="D6" s="117"/>
      <c r="E6" s="117"/>
      <c r="F6" s="138">
        <v>4.5300002098083499E-2</v>
      </c>
      <c r="G6" s="117"/>
    </row>
    <row r="7" spans="1:12" ht="11.25" customHeight="1" x14ac:dyDescent="0.25">
      <c r="A7" s="81" t="s">
        <v>117</v>
      </c>
      <c r="B7" s="137" t="s">
        <v>263</v>
      </c>
      <c r="C7" s="117"/>
      <c r="D7" s="117"/>
      <c r="E7" s="117"/>
      <c r="F7" s="138" t="s">
        <v>263</v>
      </c>
      <c r="G7" s="117"/>
    </row>
    <row r="8" spans="1:12" ht="11.25" customHeight="1" x14ac:dyDescent="0.25">
      <c r="A8" s="81" t="s">
        <v>118</v>
      </c>
      <c r="B8" s="137" t="s">
        <v>263</v>
      </c>
      <c r="C8" s="117"/>
      <c r="D8" s="117"/>
      <c r="E8" s="117"/>
      <c r="F8" s="138" t="s">
        <v>263</v>
      </c>
      <c r="G8" s="117"/>
    </row>
    <row r="9" spans="1:12" ht="11.25" customHeight="1" x14ac:dyDescent="0.25">
      <c r="A9" s="81" t="s">
        <v>119</v>
      </c>
      <c r="B9" s="137" t="s">
        <v>263</v>
      </c>
      <c r="C9" s="117"/>
      <c r="D9" s="117"/>
      <c r="E9" s="117"/>
      <c r="F9" s="138" t="s">
        <v>263</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3.69</v>
      </c>
      <c r="E13" s="63">
        <v>0.37260273972602742</v>
      </c>
      <c r="F13" s="64">
        <v>0</v>
      </c>
      <c r="G13" s="63">
        <v>4</v>
      </c>
    </row>
    <row r="14" spans="1:12" ht="14.4" customHeight="1" x14ac:dyDescent="0.25">
      <c r="A14" t="s">
        <v>124</v>
      </c>
      <c r="B14" t="s">
        <v>125</v>
      </c>
      <c r="C14" t="s">
        <v>126</v>
      </c>
      <c r="D14" s="63">
        <v>5.3</v>
      </c>
      <c r="E14" s="82">
        <v>2.7643835616438355</v>
      </c>
      <c r="F14">
        <v>0</v>
      </c>
      <c r="G14" s="63">
        <v>5</v>
      </c>
    </row>
    <row r="15" spans="1:12" ht="14.4" customHeight="1" x14ac:dyDescent="0.25">
      <c r="A15" t="s">
        <v>127</v>
      </c>
      <c r="B15" t="s">
        <v>128</v>
      </c>
      <c r="C15" t="s">
        <v>129</v>
      </c>
      <c r="D15" s="63">
        <v>6.43</v>
      </c>
      <c r="E15" s="82">
        <v>2.5232876712328767</v>
      </c>
      <c r="F15">
        <v>0</v>
      </c>
      <c r="G15" s="63">
        <v>5</v>
      </c>
    </row>
    <row r="16" spans="1:12" ht="14.4" customHeight="1" x14ac:dyDescent="0.25">
      <c r="A16" t="s">
        <v>130</v>
      </c>
      <c r="B16" t="s">
        <v>131</v>
      </c>
      <c r="C16" t="s">
        <v>132</v>
      </c>
      <c r="D16" s="63">
        <v>4.75</v>
      </c>
      <c r="E16" s="82">
        <v>0</v>
      </c>
      <c r="F16">
        <v>0</v>
      </c>
      <c r="G16" s="63">
        <v>2</v>
      </c>
    </row>
    <row r="17" spans="1:7" ht="14.4" customHeight="1" x14ac:dyDescent="0.25">
      <c r="A17" t="s">
        <v>133</v>
      </c>
      <c r="B17" t="s">
        <v>134</v>
      </c>
      <c r="C17" t="s">
        <v>135</v>
      </c>
      <c r="D17" s="63">
        <v>4.7</v>
      </c>
      <c r="E17" s="82">
        <v>0</v>
      </c>
      <c r="F17">
        <v>0</v>
      </c>
      <c r="G17" s="63">
        <v>2</v>
      </c>
    </row>
    <row r="18" spans="1:7" ht="14.4" customHeight="1" x14ac:dyDescent="0.25">
      <c r="A18" t="s">
        <v>136</v>
      </c>
      <c r="B18" t="s">
        <v>137</v>
      </c>
      <c r="C18" t="s">
        <v>138</v>
      </c>
      <c r="D18" s="63">
        <v>5.74</v>
      </c>
      <c r="E18" s="82">
        <v>0</v>
      </c>
      <c r="F18">
        <v>0</v>
      </c>
      <c r="G18" s="63">
        <v>2</v>
      </c>
    </row>
    <row r="19" spans="1:7" ht="14.4" customHeight="1" x14ac:dyDescent="0.25">
      <c r="A19" t="s">
        <v>139</v>
      </c>
      <c r="B19" t="s">
        <v>140</v>
      </c>
      <c r="C19" t="s">
        <v>141</v>
      </c>
      <c r="D19" s="63">
        <v>5.7</v>
      </c>
      <c r="E19" s="82">
        <v>0</v>
      </c>
      <c r="F19">
        <v>0</v>
      </c>
      <c r="G19" s="63">
        <v>3</v>
      </c>
    </row>
    <row r="20" spans="1:7" ht="14.4" customHeight="1" x14ac:dyDescent="0.25">
      <c r="A20" t="s">
        <v>142</v>
      </c>
      <c r="B20" t="s">
        <v>143</v>
      </c>
      <c r="C20" t="s">
        <v>144</v>
      </c>
      <c r="D20" s="63">
        <v>5.95</v>
      </c>
      <c r="E20" s="82">
        <v>0</v>
      </c>
      <c r="F20">
        <v>0</v>
      </c>
      <c r="G20" s="63">
        <v>1</v>
      </c>
    </row>
    <row r="21" spans="1:7" ht="14.4" customHeight="1" x14ac:dyDescent="0.25">
      <c r="A21" t="s">
        <v>145</v>
      </c>
      <c r="B21" t="s">
        <v>146</v>
      </c>
      <c r="C21" t="s">
        <v>147</v>
      </c>
      <c r="D21" s="63">
        <v>5.99</v>
      </c>
      <c r="E21" s="82">
        <v>0</v>
      </c>
      <c r="F21">
        <v>0</v>
      </c>
      <c r="G21" s="63">
        <v>2</v>
      </c>
    </row>
    <row r="22" spans="1:7" ht="14.4" customHeight="1" x14ac:dyDescent="0.25">
      <c r="A22" t="s">
        <v>148</v>
      </c>
      <c r="B22" t="s">
        <v>149</v>
      </c>
      <c r="C22" t="s">
        <v>150</v>
      </c>
      <c r="D22" s="63">
        <v>5.76</v>
      </c>
      <c r="E22" s="82">
        <v>0</v>
      </c>
      <c r="F22">
        <v>0</v>
      </c>
      <c r="G22" s="63">
        <v>3</v>
      </c>
    </row>
    <row r="23" spans="1:7" ht="14.4" customHeight="1" x14ac:dyDescent="0.25">
      <c r="A23" t="s">
        <v>151</v>
      </c>
      <c r="B23" t="s">
        <v>152</v>
      </c>
      <c r="C23" t="s">
        <v>153</v>
      </c>
      <c r="D23" s="63">
        <v>5.04</v>
      </c>
      <c r="E23" s="82">
        <v>0</v>
      </c>
      <c r="F23">
        <v>0</v>
      </c>
      <c r="G23" s="63">
        <v>2</v>
      </c>
    </row>
    <row r="24" spans="1:7" ht="14.4" customHeight="1" x14ac:dyDescent="0.25">
      <c r="A24" t="s">
        <v>154</v>
      </c>
      <c r="B24" t="s">
        <v>155</v>
      </c>
      <c r="C24" t="s">
        <v>156</v>
      </c>
      <c r="D24" s="63">
        <v>5.3</v>
      </c>
      <c r="E24" s="82">
        <v>0</v>
      </c>
      <c r="F24">
        <v>0</v>
      </c>
      <c r="G24" s="63">
        <v>2</v>
      </c>
    </row>
    <row r="25" spans="1:7" ht="14.4" customHeight="1" x14ac:dyDescent="0.25">
      <c r="A25" t="s">
        <v>157</v>
      </c>
      <c r="B25" t="s">
        <v>158</v>
      </c>
      <c r="C25" t="s">
        <v>159</v>
      </c>
      <c r="D25" s="63">
        <v>5</v>
      </c>
      <c r="E25" s="82">
        <v>0</v>
      </c>
      <c r="F25">
        <v>0</v>
      </c>
      <c r="G25" s="63">
        <v>1</v>
      </c>
    </row>
    <row r="26" spans="1:7" ht="14.4" customHeight="1" x14ac:dyDescent="0.25">
      <c r="A26" t="s">
        <v>160</v>
      </c>
      <c r="B26" t="s">
        <v>161</v>
      </c>
      <c r="C26" t="s">
        <v>162</v>
      </c>
      <c r="D26" s="63">
        <v>5.0999999999999996</v>
      </c>
      <c r="E26" s="82">
        <v>0</v>
      </c>
      <c r="F26">
        <v>0</v>
      </c>
      <c r="G26" s="63">
        <v>2</v>
      </c>
    </row>
    <row r="27" spans="1:7" ht="14.4" customHeight="1" x14ac:dyDescent="0.25">
      <c r="A27" t="s">
        <v>163</v>
      </c>
      <c r="B27" t="s">
        <v>164</v>
      </c>
      <c r="C27" t="s">
        <v>165</v>
      </c>
      <c r="D27" s="63">
        <v>4.88</v>
      </c>
      <c r="E27" s="82">
        <v>0</v>
      </c>
      <c r="F27">
        <v>0</v>
      </c>
      <c r="G27" s="63">
        <v>3</v>
      </c>
    </row>
    <row r="28" spans="1:7" ht="14.4" customHeight="1" x14ac:dyDescent="0.25">
      <c r="A28" t="s">
        <v>166</v>
      </c>
      <c r="B28" t="s">
        <v>167</v>
      </c>
      <c r="C28" t="s">
        <v>168</v>
      </c>
      <c r="D28" s="63">
        <v>5.38</v>
      </c>
      <c r="E28" s="82">
        <v>0</v>
      </c>
      <c r="F28">
        <v>0</v>
      </c>
      <c r="G28" s="63">
        <v>5</v>
      </c>
    </row>
    <row r="29" spans="1:7" ht="14.4" customHeight="1" x14ac:dyDescent="0.25">
      <c r="A29" t="s">
        <v>169</v>
      </c>
      <c r="B29" t="s">
        <v>170</v>
      </c>
      <c r="C29" t="s">
        <v>171</v>
      </c>
      <c r="D29" s="63">
        <v>3.42</v>
      </c>
      <c r="E29" s="82">
        <v>0</v>
      </c>
      <c r="F29">
        <v>0</v>
      </c>
      <c r="G29" s="63">
        <v>3</v>
      </c>
    </row>
    <row r="30" spans="1:7" ht="14.4" customHeight="1" x14ac:dyDescent="0.25">
      <c r="A30" t="s">
        <v>172</v>
      </c>
      <c r="B30" t="s">
        <v>173</v>
      </c>
      <c r="C30" t="s">
        <v>174</v>
      </c>
      <c r="D30" s="63">
        <v>4.7</v>
      </c>
      <c r="E30" s="82">
        <v>0.13972602739726028</v>
      </c>
      <c r="F30">
        <v>0</v>
      </c>
      <c r="G30" s="63">
        <v>5</v>
      </c>
    </row>
    <row r="31" spans="1:7" ht="14.4" customHeight="1" x14ac:dyDescent="0.25">
      <c r="A31" t="s">
        <v>175</v>
      </c>
      <c r="B31" t="s">
        <v>176</v>
      </c>
      <c r="C31" t="s">
        <v>177</v>
      </c>
      <c r="D31" s="63">
        <v>5</v>
      </c>
      <c r="E31" s="82">
        <v>0</v>
      </c>
      <c r="F31">
        <v>0</v>
      </c>
      <c r="G31" s="63">
        <v>3</v>
      </c>
    </row>
    <row r="32" spans="1:7" ht="14.4" customHeight="1" x14ac:dyDescent="0.25">
      <c r="A32" t="s">
        <v>178</v>
      </c>
      <c r="B32" t="s">
        <v>179</v>
      </c>
      <c r="C32" t="s">
        <v>180</v>
      </c>
      <c r="D32" s="63">
        <v>7.75</v>
      </c>
      <c r="E32" s="82">
        <v>0</v>
      </c>
      <c r="F32" t="s">
        <v>25</v>
      </c>
      <c r="G32" s="63">
        <v>2</v>
      </c>
    </row>
    <row r="33" spans="1:7" ht="14.4" customHeight="1" x14ac:dyDescent="0.25">
      <c r="A33" t="s">
        <v>181</v>
      </c>
      <c r="B33" t="s">
        <v>182</v>
      </c>
      <c r="C33" t="s">
        <v>183</v>
      </c>
      <c r="D33" s="63">
        <v>8.1999999999999993</v>
      </c>
      <c r="E33" s="82">
        <v>0</v>
      </c>
      <c r="F33">
        <v>0</v>
      </c>
      <c r="G33" s="63">
        <v>5</v>
      </c>
    </row>
    <row r="34" spans="1:7" ht="14.4" customHeight="1" x14ac:dyDescent="0.25">
      <c r="A34" t="s">
        <v>184</v>
      </c>
      <c r="B34" t="s">
        <v>185</v>
      </c>
      <c r="C34" t="s">
        <v>186</v>
      </c>
      <c r="D34" s="63">
        <v>7.5</v>
      </c>
      <c r="E34" s="82">
        <v>0</v>
      </c>
      <c r="F34" t="s">
        <v>25</v>
      </c>
      <c r="G34" s="63">
        <v>3.2</v>
      </c>
    </row>
    <row r="35" spans="1:7" ht="14.4" customHeight="1" x14ac:dyDescent="0.25">
      <c r="A35" t="s">
        <v>187</v>
      </c>
      <c r="B35" t="s">
        <v>188</v>
      </c>
      <c r="C35" t="s">
        <v>189</v>
      </c>
      <c r="D35" s="63">
        <v>6.01</v>
      </c>
      <c r="E35" s="82">
        <v>0</v>
      </c>
      <c r="F35" t="s">
        <v>205</v>
      </c>
      <c r="G35" s="63">
        <v>2</v>
      </c>
    </row>
    <row r="36" spans="1:7" ht="14.4" customHeight="1" x14ac:dyDescent="0.25">
      <c r="D36" s="63"/>
      <c r="E36" s="82"/>
      <c r="G36" s="63"/>
    </row>
    <row r="37" spans="1:7" ht="14.4" customHeight="1" x14ac:dyDescent="0.25">
      <c r="D37" s="63"/>
      <c r="E37" s="82"/>
      <c r="G37" s="63"/>
    </row>
    <row r="38" spans="1:7" ht="14.4" customHeight="1" x14ac:dyDescent="0.25">
      <c r="D38" s="63"/>
      <c r="E38" s="82"/>
      <c r="G38" s="63"/>
    </row>
    <row r="39" spans="1:7" ht="14.4" customHeight="1" x14ac:dyDescent="0.25">
      <c r="D39" s="63"/>
      <c r="E39" s="82"/>
      <c r="G39" s="63"/>
    </row>
    <row r="40" spans="1:7" ht="14.4" customHeight="1" x14ac:dyDescent="0.25">
      <c r="D40" s="63"/>
      <c r="E40" s="82"/>
      <c r="G40" s="63"/>
    </row>
    <row r="41" spans="1:7" ht="14.4" customHeight="1" x14ac:dyDescent="0.25">
      <c r="A41" s="140" t="s">
        <v>190</v>
      </c>
      <c r="B41" s="140"/>
      <c r="C41" s="140"/>
      <c r="D41" s="140"/>
      <c r="E41" s="82"/>
      <c r="G41" s="63"/>
    </row>
    <row r="42" spans="1:7" ht="14.4" customHeight="1" x14ac:dyDescent="0.25">
      <c r="A42" s="83" t="s">
        <v>191</v>
      </c>
      <c r="B42" s="83" t="s">
        <v>192</v>
      </c>
      <c r="C42" s="83" t="s">
        <v>193</v>
      </c>
      <c r="D42" s="84" t="s">
        <v>194</v>
      </c>
      <c r="E42" s="82"/>
      <c r="G42" s="63"/>
    </row>
    <row r="43" spans="1:7" ht="14.4" customHeight="1" x14ac:dyDescent="0.25">
      <c r="A43" t="s">
        <v>195</v>
      </c>
      <c r="B43" t="s">
        <v>25</v>
      </c>
      <c r="C43" t="s">
        <v>196</v>
      </c>
      <c r="D43" s="63" t="s">
        <v>197</v>
      </c>
      <c r="E43" s="82"/>
      <c r="G43" s="63"/>
    </row>
    <row r="44" spans="1:7" ht="14.4" customHeight="1" x14ac:dyDescent="0.25">
      <c r="A44" t="s">
        <v>198</v>
      </c>
      <c r="B44" t="s">
        <v>25</v>
      </c>
      <c r="C44" t="s">
        <v>199</v>
      </c>
      <c r="D44" s="63" t="s">
        <v>200</v>
      </c>
      <c r="E44" s="82"/>
      <c r="G44" s="63"/>
    </row>
    <row r="45" spans="1:7" ht="14.4" customHeight="1" x14ac:dyDescent="0.25">
      <c r="A45" t="s">
        <v>201</v>
      </c>
      <c r="B45" t="s">
        <v>25</v>
      </c>
      <c r="C45" t="s">
        <v>199</v>
      </c>
      <c r="D45" s="63" t="s">
        <v>200</v>
      </c>
      <c r="E45" s="82"/>
      <c r="G45" s="63"/>
    </row>
    <row r="46" spans="1:7" ht="14.4" customHeight="1" x14ac:dyDescent="0.25">
      <c r="A46" t="s">
        <v>202</v>
      </c>
      <c r="B46" t="s">
        <v>25</v>
      </c>
      <c r="C46" t="s">
        <v>199</v>
      </c>
      <c r="D46" s="63" t="s">
        <v>200</v>
      </c>
      <c r="E46" s="82"/>
      <c r="G46" s="63"/>
    </row>
    <row r="47" spans="1:7" ht="14.4" customHeight="1" x14ac:dyDescent="0.25">
      <c r="A47" t="s">
        <v>203</v>
      </c>
      <c r="B47" t="s">
        <v>25</v>
      </c>
      <c r="C47" t="s">
        <v>199</v>
      </c>
      <c r="D47" s="63" t="s">
        <v>200</v>
      </c>
      <c r="E47" s="82"/>
      <c r="G47" s="63"/>
    </row>
    <row r="48" spans="1:7" ht="14.4" customHeight="1" x14ac:dyDescent="0.25">
      <c r="A48" t="s">
        <v>204</v>
      </c>
      <c r="B48" t="s">
        <v>205</v>
      </c>
      <c r="C48" t="s">
        <v>199</v>
      </c>
      <c r="D48" s="63" t="s">
        <v>200</v>
      </c>
      <c r="E48" s="82"/>
      <c r="G48" s="63"/>
    </row>
    <row r="49" spans="1:7" ht="14.4" customHeight="1" x14ac:dyDescent="0.25">
      <c r="A49" t="s">
        <v>206</v>
      </c>
      <c r="B49" t="s">
        <v>205</v>
      </c>
      <c r="C49" t="s">
        <v>199</v>
      </c>
      <c r="D49" s="63" t="s">
        <v>200</v>
      </c>
      <c r="E49" s="82"/>
      <c r="G49" s="63"/>
    </row>
    <row r="50" spans="1:7" ht="14.4" customHeight="1" x14ac:dyDescent="0.25">
      <c r="A50" t="s">
        <v>207</v>
      </c>
      <c r="B50" t="s">
        <v>205</v>
      </c>
      <c r="C50" t="s">
        <v>199</v>
      </c>
      <c r="D50" s="63" t="s">
        <v>200</v>
      </c>
      <c r="E50" s="82"/>
      <c r="G50" s="63"/>
    </row>
    <row r="51" spans="1:7" ht="14.4" customHeight="1" x14ac:dyDescent="0.25">
      <c r="A51" t="s">
        <v>208</v>
      </c>
      <c r="B51" t="s">
        <v>205</v>
      </c>
      <c r="C51" t="s">
        <v>199</v>
      </c>
      <c r="D51" s="63" t="s">
        <v>200</v>
      </c>
      <c r="E51" s="82"/>
      <c r="G51" s="63"/>
    </row>
    <row r="52" spans="1:7" ht="14.4" customHeight="1" x14ac:dyDescent="0.25">
      <c r="A52" t="s">
        <v>209</v>
      </c>
      <c r="B52" t="s">
        <v>205</v>
      </c>
      <c r="C52" t="s">
        <v>199</v>
      </c>
      <c r="D52" s="63" t="s">
        <v>200</v>
      </c>
      <c r="E52" s="82"/>
      <c r="G52" s="63"/>
    </row>
    <row r="53" spans="1:7" ht="14.4" customHeight="1" x14ac:dyDescent="0.25">
      <c r="A53" t="s">
        <v>210</v>
      </c>
      <c r="B53" t="s">
        <v>205</v>
      </c>
      <c r="C53" t="s">
        <v>199</v>
      </c>
      <c r="D53" s="63" t="s">
        <v>200</v>
      </c>
      <c r="E53" s="82"/>
      <c r="G53" s="63"/>
    </row>
    <row r="54" spans="1:7" ht="14.4" customHeight="1" x14ac:dyDescent="0.25">
      <c r="D54" s="63"/>
      <c r="E54" s="82"/>
      <c r="G54" s="63"/>
    </row>
    <row r="55" spans="1:7" ht="14.4" customHeight="1" x14ac:dyDescent="0.25">
      <c r="D55" s="63"/>
      <c r="E55" s="82"/>
      <c r="G55" s="63"/>
    </row>
    <row r="56" spans="1:7" ht="14.4" customHeight="1" x14ac:dyDescent="0.25">
      <c r="D56" s="63"/>
      <c r="E56" s="82"/>
      <c r="G56" s="63"/>
    </row>
    <row r="57" spans="1:7" ht="14.4" customHeight="1" x14ac:dyDescent="0.25">
      <c r="D57" s="63"/>
      <c r="E57" s="82"/>
      <c r="G57" s="63"/>
    </row>
    <row r="58" spans="1:7" ht="14.4" customHeight="1" x14ac:dyDescent="0.25">
      <c r="D58" s="63"/>
      <c r="E58" s="82"/>
      <c r="G58" s="63"/>
    </row>
    <row r="59" spans="1:7" ht="14.4" customHeight="1" x14ac:dyDescent="0.25">
      <c r="D59" s="63"/>
      <c r="E59" s="82"/>
      <c r="G59" s="63"/>
    </row>
    <row r="60" spans="1:7" ht="14.4" customHeight="1" x14ac:dyDescent="0.25">
      <c r="D60" s="63"/>
      <c r="E60" s="82"/>
      <c r="G60" s="63"/>
    </row>
    <row r="61" spans="1:7" ht="14.4" customHeight="1" x14ac:dyDescent="0.25">
      <c r="D61" s="63"/>
      <c r="E61" s="82"/>
      <c r="G61" s="63"/>
    </row>
    <row r="62" spans="1:7" ht="14.4" customHeight="1" x14ac:dyDescent="0.25">
      <c r="D62" s="63"/>
      <c r="E62" s="82"/>
      <c r="G62" s="63"/>
    </row>
    <row r="63" spans="1:7" ht="14.4" customHeight="1" x14ac:dyDescent="0.25">
      <c r="D63" s="63"/>
      <c r="E63" s="82"/>
      <c r="G63" s="63"/>
    </row>
    <row r="64" spans="1: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211</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41:D41"/>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0.63498100000000002</v>
      </c>
      <c r="C4" s="57" t="s">
        <v>36</v>
      </c>
      <c r="D4" s="86">
        <v>1.2596000000000001</v>
      </c>
      <c r="E4" s="57" t="s">
        <v>41</v>
      </c>
      <c r="F4" s="85">
        <v>1.2173</v>
      </c>
      <c r="G4" s="57" t="s">
        <v>42</v>
      </c>
      <c r="H4" s="85">
        <v>4.6022E-2</v>
      </c>
      <c r="I4" s="57"/>
      <c r="J4" s="87"/>
    </row>
    <row r="5" spans="1:10" ht="15.75" customHeight="1" x14ac:dyDescent="0.25">
      <c r="A5" s="57" t="s">
        <v>62</v>
      </c>
      <c r="B5" s="85">
        <v>0.40759000000000001</v>
      </c>
      <c r="C5" s="57" t="s">
        <v>63</v>
      </c>
      <c r="D5" s="86">
        <v>1.2533000000000001</v>
      </c>
      <c r="E5" s="57" t="s">
        <v>64</v>
      </c>
      <c r="F5" s="86">
        <v>32.254300000000001</v>
      </c>
      <c r="G5" s="57" t="s">
        <v>65</v>
      </c>
      <c r="H5" s="85">
        <v>1.5023E-2</v>
      </c>
      <c r="I5" s="57"/>
      <c r="J5" s="87"/>
    </row>
    <row r="6" spans="1:10" ht="15" customHeight="1" x14ac:dyDescent="0.25">
      <c r="A6" s="57" t="s">
        <v>66</v>
      </c>
      <c r="B6" s="85">
        <v>0.50958499999999995</v>
      </c>
      <c r="C6" s="57" t="s">
        <v>39</v>
      </c>
      <c r="D6" s="88">
        <v>4.9399999999999999E-2</v>
      </c>
      <c r="E6" s="57" t="s">
        <v>67</v>
      </c>
      <c r="F6" s="86">
        <v>36.918100000000003</v>
      </c>
      <c r="G6" s="57" t="s">
        <v>45</v>
      </c>
      <c r="H6" s="85">
        <v>3.3599999999999998E-4</v>
      </c>
      <c r="I6" s="57"/>
      <c r="J6" s="87"/>
    </row>
    <row r="7" spans="1:10" ht="14.25" customHeight="1" x14ac:dyDescent="0.25">
      <c r="A7" s="57" t="s">
        <v>38</v>
      </c>
      <c r="B7" s="88">
        <v>1.4432888910378343</v>
      </c>
      <c r="C7" s="57" t="s">
        <v>68</v>
      </c>
      <c r="D7" s="88">
        <v>1.1083000000000001</v>
      </c>
      <c r="E7" s="57" t="s">
        <v>69</v>
      </c>
      <c r="F7" s="86">
        <v>0.35260000000000002</v>
      </c>
      <c r="G7" s="57" t="s">
        <v>70</v>
      </c>
      <c r="H7" s="85">
        <v>2.0632000000000001E-2</v>
      </c>
      <c r="I7" s="57"/>
      <c r="J7" s="87"/>
    </row>
    <row r="8" spans="1:10" x14ac:dyDescent="0.25">
      <c r="A8" s="57"/>
      <c r="B8" s="89"/>
      <c r="C8" s="57"/>
      <c r="D8" s="90"/>
      <c r="E8" s="57" t="s">
        <v>71</v>
      </c>
      <c r="F8" s="86">
        <v>0.1273</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11.785497119</v>
      </c>
      <c r="C12" s="57" t="s">
        <v>78</v>
      </c>
      <c r="D12" s="88">
        <v>15.3285624578</v>
      </c>
      <c r="E12" s="144" t="s">
        <v>79</v>
      </c>
      <c r="F12" s="117"/>
      <c r="G12" s="117"/>
      <c r="H12" s="145">
        <v>18.6594127555</v>
      </c>
      <c r="I12" s="117"/>
      <c r="J12" s="117"/>
    </row>
    <row r="13" spans="1:10" ht="14.25" customHeight="1" x14ac:dyDescent="0.25">
      <c r="A13" s="57" t="s">
        <v>80</v>
      </c>
      <c r="B13" s="91">
        <v>0.55336258490000001</v>
      </c>
      <c r="C13" s="57" t="s">
        <v>81</v>
      </c>
      <c r="D13" s="88">
        <v>17.958185829800001</v>
      </c>
      <c r="E13" s="144" t="s">
        <v>82</v>
      </c>
      <c r="F13" s="117"/>
      <c r="G13" s="117"/>
      <c r="H13" s="145">
        <v>2.9720036891000001</v>
      </c>
      <c r="I13" s="117"/>
      <c r="J13" s="117"/>
    </row>
    <row r="14" spans="1:10" ht="14.25" customHeight="1" x14ac:dyDescent="0.25">
      <c r="A14" s="57" t="s">
        <v>83</v>
      </c>
      <c r="B14" s="91">
        <v>20.380196565199999</v>
      </c>
      <c r="C14" s="57" t="s">
        <v>84</v>
      </c>
      <c r="D14" s="88">
        <v>14.623112391900001</v>
      </c>
      <c r="E14" s="144" t="s">
        <v>85</v>
      </c>
      <c r="F14" s="117"/>
      <c r="G14" s="117"/>
      <c r="H14" s="145">
        <v>21.762806707900001</v>
      </c>
      <c r="I14" s="117"/>
      <c r="J14" s="117"/>
    </row>
    <row r="15" spans="1:10" ht="14.25" customHeight="1" x14ac:dyDescent="0.25">
      <c r="A15" s="57" t="s">
        <v>86</v>
      </c>
      <c r="B15" s="91">
        <v>26.806966174299998</v>
      </c>
      <c r="C15" s="57" t="s">
        <v>87</v>
      </c>
      <c r="D15" s="88">
        <v>0.3580557379</v>
      </c>
      <c r="E15" s="144" t="s">
        <v>88</v>
      </c>
      <c r="F15" s="117"/>
      <c r="G15" s="117"/>
      <c r="H15" s="145">
        <v>16.858192934600002</v>
      </c>
      <c r="I15" s="117"/>
      <c r="J15" s="117"/>
    </row>
    <row r="16" spans="1:10" ht="14.25" customHeight="1" x14ac:dyDescent="0.25">
      <c r="A16" s="57" t="s">
        <v>89</v>
      </c>
      <c r="B16" s="91">
        <v>10.063836050700001</v>
      </c>
      <c r="C16" s="57" t="s">
        <v>90</v>
      </c>
      <c r="D16" s="88">
        <v>0.57586700469999996</v>
      </c>
      <c r="E16" s="144" t="s">
        <v>91</v>
      </c>
      <c r="F16" s="117"/>
      <c r="G16" s="117"/>
      <c r="H16" s="145">
        <v>3.7425293630000001</v>
      </c>
      <c r="I16" s="117"/>
      <c r="J16" s="117"/>
    </row>
    <row r="17" spans="1:10" ht="14.25" customHeight="1" x14ac:dyDescent="0.25">
      <c r="A17" s="57" t="s">
        <v>92</v>
      </c>
      <c r="B17" s="91">
        <v>17.3105261129</v>
      </c>
      <c r="C17" s="57" t="s">
        <v>93</v>
      </c>
      <c r="D17" s="88">
        <v>2.3871381550000002</v>
      </c>
      <c r="E17" s="144" t="s">
        <v>94</v>
      </c>
      <c r="F17" s="117"/>
      <c r="G17" s="117"/>
      <c r="H17" s="145">
        <v>21.376230461700001</v>
      </c>
      <c r="I17" s="117"/>
      <c r="J17" s="117"/>
    </row>
    <row r="18" spans="1:10" ht="14.25" customHeight="1" x14ac:dyDescent="0.25">
      <c r="A18" s="57" t="s">
        <v>95</v>
      </c>
      <c r="B18" s="91">
        <v>129.12702410110001</v>
      </c>
      <c r="C18" s="57" t="s">
        <v>96</v>
      </c>
      <c r="D18" s="88">
        <v>0.23028367030000002</v>
      </c>
      <c r="E18" s="144" t="s">
        <v>97</v>
      </c>
      <c r="F18" s="117"/>
      <c r="G18" s="117"/>
      <c r="H18" s="145">
        <v>0.38657624619999997</v>
      </c>
      <c r="I18" s="117"/>
      <c r="J18" s="117"/>
    </row>
    <row r="19" spans="1:10" ht="14.25" customHeight="1" x14ac:dyDescent="0.25">
      <c r="A19" s="57" t="s">
        <v>98</v>
      </c>
      <c r="B19" s="91">
        <v>21.9379697</v>
      </c>
      <c r="C19" s="57" t="s">
        <v>99</v>
      </c>
      <c r="D19" s="88">
        <v>0.24266565109999999</v>
      </c>
      <c r="E19" s="144" t="s">
        <v>100</v>
      </c>
      <c r="F19" s="117"/>
      <c r="G19" s="117"/>
      <c r="H19" s="145">
        <v>-5.7720339263999998</v>
      </c>
      <c r="I19" s="117"/>
      <c r="J19" s="117"/>
    </row>
    <row r="20" spans="1:10" ht="27" customHeight="1" x14ac:dyDescent="0.25">
      <c r="A20" s="57" t="s">
        <v>101</v>
      </c>
      <c r="B20" s="91">
        <v>7.3210199999999999</v>
      </c>
      <c r="C20" s="57" t="s">
        <v>43</v>
      </c>
      <c r="D20" s="88">
        <v>0.15028098140000001</v>
      </c>
      <c r="E20" s="144" t="s">
        <v>102</v>
      </c>
      <c r="F20" s="117"/>
      <c r="G20" s="117"/>
      <c r="H20" s="145">
        <v>0</v>
      </c>
      <c r="I20" s="117"/>
      <c r="J20" s="117"/>
    </row>
    <row r="21" spans="1:10" ht="16.5" customHeight="1" x14ac:dyDescent="0.25">
      <c r="A21" s="57" t="s">
        <v>103</v>
      </c>
      <c r="B21" s="91">
        <v>0</v>
      </c>
      <c r="C21" s="57"/>
      <c r="D21" s="92"/>
      <c r="E21" s="144" t="s">
        <v>104</v>
      </c>
      <c r="F21" s="117"/>
      <c r="G21" s="117"/>
      <c r="H21" s="145">
        <v>60.928456500000003</v>
      </c>
      <c r="I21" s="117"/>
      <c r="J21" s="117"/>
    </row>
    <row r="22" spans="1:10" ht="14.25" customHeight="1" x14ac:dyDescent="0.25">
      <c r="A22" s="57" t="s">
        <v>105</v>
      </c>
      <c r="B22" s="91">
        <v>28.407460140000001</v>
      </c>
      <c r="C22" s="57"/>
      <c r="D22" s="92"/>
      <c r="E22" s="144" t="s">
        <v>106</v>
      </c>
      <c r="F22" s="117"/>
      <c r="G22" s="117"/>
      <c r="H22" s="145">
        <v>0</v>
      </c>
      <c r="I22" s="117"/>
      <c r="J22" s="117"/>
    </row>
    <row r="23" spans="1:10" ht="14.25" customHeight="1" x14ac:dyDescent="0.25">
      <c r="A23" s="57" t="s">
        <v>107</v>
      </c>
      <c r="B23" s="91">
        <v>10.36125</v>
      </c>
      <c r="C23" s="57"/>
      <c r="D23" s="92"/>
      <c r="E23" s="144" t="s">
        <v>108</v>
      </c>
      <c r="F23" s="117"/>
      <c r="G23" s="117"/>
      <c r="H23" s="145">
        <v>76.076239597799997</v>
      </c>
      <c r="I23" s="117"/>
      <c r="J23" s="117"/>
    </row>
    <row r="24" spans="1:10" ht="14.25" customHeight="1" x14ac:dyDescent="0.25">
      <c r="A24" s="57" t="s">
        <v>109</v>
      </c>
      <c r="B24" s="91">
        <v>81.993217236500001</v>
      </c>
      <c r="C24" s="93"/>
      <c r="D24" s="90"/>
      <c r="E24" s="144" t="s">
        <v>110</v>
      </c>
      <c r="F24" s="117"/>
      <c r="G24" s="117"/>
      <c r="H24" s="145">
        <v>40.247945933300002</v>
      </c>
      <c r="I24" s="117"/>
      <c r="J24" s="117"/>
    </row>
    <row r="25" spans="1:10" ht="14.25" customHeight="1" x14ac:dyDescent="0.25">
      <c r="A25" s="57" t="s">
        <v>111</v>
      </c>
      <c r="B25" s="91">
        <v>47.133806864600004</v>
      </c>
      <c r="C25" s="93"/>
      <c r="D25" s="90"/>
      <c r="E25" s="144" t="s">
        <v>112</v>
      </c>
      <c r="F25" s="117"/>
      <c r="G25" s="117"/>
      <c r="H25" s="145">
        <v>67.930836382400003</v>
      </c>
      <c r="I25" s="117"/>
      <c r="J25" s="117"/>
    </row>
    <row r="26" spans="1:10" ht="14.25" customHeight="1" x14ac:dyDescent="0.25">
      <c r="A26" s="94" t="s">
        <v>113</v>
      </c>
      <c r="B26" s="91">
        <v>129.12702410110001</v>
      </c>
      <c r="C26" s="93"/>
      <c r="D26" s="90"/>
      <c r="E26" s="144" t="s">
        <v>114</v>
      </c>
      <c r="F26" s="117"/>
      <c r="G26" s="117"/>
      <c r="H26" s="145">
        <v>8.1454032154</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212</v>
      </c>
      <c r="B1" s="121"/>
      <c r="C1" s="121"/>
      <c r="D1" s="121"/>
      <c r="E1" s="121"/>
      <c r="F1" s="121"/>
      <c r="G1" s="121"/>
      <c r="H1" s="121"/>
      <c r="I1" s="121"/>
    </row>
    <row r="2" spans="1:10" ht="46.5" customHeight="1" x14ac:dyDescent="0.25">
      <c r="A2" s="54" t="s">
        <v>22</v>
      </c>
      <c r="B2" s="43" t="s">
        <v>256</v>
      </c>
      <c r="C2" s="43" t="s">
        <v>213</v>
      </c>
      <c r="D2" s="43" t="s">
        <v>264</v>
      </c>
      <c r="E2" s="43" t="s">
        <v>265</v>
      </c>
      <c r="F2" s="43" t="s">
        <v>266</v>
      </c>
      <c r="G2" s="43" t="s">
        <v>267</v>
      </c>
      <c r="H2" s="43" t="s">
        <v>268</v>
      </c>
      <c r="I2" s="43" t="s">
        <v>269</v>
      </c>
      <c r="J2" s="43" t="s">
        <v>270</v>
      </c>
    </row>
    <row r="3" spans="1:10" x14ac:dyDescent="0.25">
      <c r="A3" s="54" t="s">
        <v>24</v>
      </c>
      <c r="B3" s="96" t="s">
        <v>25</v>
      </c>
      <c r="C3" s="97" t="s">
        <v>196</v>
      </c>
      <c r="D3" s="96" t="s">
        <v>25</v>
      </c>
      <c r="E3" s="96" t="s">
        <v>25</v>
      </c>
      <c r="F3" s="96" t="s">
        <v>25</v>
      </c>
      <c r="G3" s="96" t="s">
        <v>25</v>
      </c>
      <c r="H3" s="96" t="s">
        <v>25</v>
      </c>
      <c r="I3" s="96" t="s">
        <v>25</v>
      </c>
      <c r="J3" s="96" t="s">
        <v>25</v>
      </c>
    </row>
    <row r="4" spans="1:10" s="7" customFormat="1" ht="21.6" x14ac:dyDescent="0.25">
      <c r="A4" s="9" t="s">
        <v>3</v>
      </c>
      <c r="B4" s="98" t="s">
        <v>257</v>
      </c>
      <c r="C4" s="97" t="s">
        <v>196</v>
      </c>
      <c r="D4" s="98" t="s">
        <v>257</v>
      </c>
      <c r="E4" s="98" t="s">
        <v>257</v>
      </c>
      <c r="F4" s="98" t="s">
        <v>257</v>
      </c>
      <c r="G4" s="98" t="s">
        <v>257</v>
      </c>
      <c r="H4" s="98" t="s">
        <v>257</v>
      </c>
      <c r="I4" s="98" t="s">
        <v>257</v>
      </c>
      <c r="J4" s="98" t="s">
        <v>271</v>
      </c>
    </row>
    <row r="5" spans="1:10" s="7" customFormat="1" x14ac:dyDescent="0.25">
      <c r="A5" s="9" t="s">
        <v>29</v>
      </c>
      <c r="B5" s="99" t="s">
        <v>30</v>
      </c>
      <c r="C5" s="97" t="s">
        <v>196</v>
      </c>
      <c r="D5" s="99" t="s">
        <v>30</v>
      </c>
      <c r="E5" s="99" t="s">
        <v>30</v>
      </c>
      <c r="F5" s="99" t="s">
        <v>30</v>
      </c>
      <c r="G5" s="99" t="s">
        <v>30</v>
      </c>
      <c r="H5" s="99" t="s">
        <v>30</v>
      </c>
      <c r="I5" s="99" t="s">
        <v>30</v>
      </c>
      <c r="J5" s="99" t="s">
        <v>30</v>
      </c>
    </row>
    <row r="6" spans="1:10" x14ac:dyDescent="0.25">
      <c r="A6" s="54" t="s">
        <v>32</v>
      </c>
      <c r="B6" s="100">
        <v>129.12702410110001</v>
      </c>
      <c r="C6" s="97">
        <v>110.1667007827143</v>
      </c>
      <c r="D6" s="100">
        <v>108.91503323139999</v>
      </c>
      <c r="E6" s="100">
        <v>192.86740731980001</v>
      </c>
      <c r="F6" s="100">
        <v>137.0173476487</v>
      </c>
      <c r="G6" s="100">
        <v>59.623029789700006</v>
      </c>
      <c r="H6" s="100">
        <v>155.81203779399999</v>
      </c>
      <c r="I6" s="100">
        <v>68.586171512099995</v>
      </c>
      <c r="J6" s="100">
        <v>48.345878183300002</v>
      </c>
    </row>
    <row r="7" spans="1:10" x14ac:dyDescent="0.25">
      <c r="A7" s="54" t="s">
        <v>34</v>
      </c>
      <c r="B7" s="44">
        <v>0.63498100000000002</v>
      </c>
      <c r="C7" s="97">
        <v>0.57855271428571431</v>
      </c>
      <c r="D7" s="44">
        <v>0.74512100000000003</v>
      </c>
      <c r="E7" s="44">
        <v>0.41198099999999999</v>
      </c>
      <c r="F7" s="44">
        <v>0.702762</v>
      </c>
      <c r="G7" s="44">
        <v>0.37540100000000004</v>
      </c>
      <c r="H7" s="44">
        <v>0.73713200000000001</v>
      </c>
      <c r="I7" s="44">
        <v>0.53301699999999996</v>
      </c>
      <c r="J7" s="44">
        <v>0.54445500000000002</v>
      </c>
    </row>
    <row r="8" spans="1:10" x14ac:dyDescent="0.25">
      <c r="A8" s="54" t="s">
        <v>36</v>
      </c>
      <c r="B8" s="100">
        <v>1.2596000000000001</v>
      </c>
      <c r="C8" s="97">
        <v>2.4727571428571431</v>
      </c>
      <c r="D8" s="100">
        <v>1.1499999999999999</v>
      </c>
      <c r="E8" s="100">
        <v>8.9196000000000009</v>
      </c>
      <c r="F8" s="100">
        <v>0.67490000000000006</v>
      </c>
      <c r="G8" s="100">
        <v>4.8402000000000003</v>
      </c>
      <c r="H8" s="100">
        <v>0.38440000000000002</v>
      </c>
      <c r="I8" s="100">
        <v>0.64549999999999996</v>
      </c>
      <c r="J8" s="100">
        <v>0.69469999999999998</v>
      </c>
    </row>
    <row r="9" spans="1:10" x14ac:dyDescent="0.25">
      <c r="A9" s="54" t="s">
        <v>38</v>
      </c>
      <c r="B9" s="96">
        <v>1.4432888910378343</v>
      </c>
      <c r="C9" s="97">
        <v>0.7728925487833791</v>
      </c>
      <c r="D9" s="96">
        <v>0.71657200291669265</v>
      </c>
      <c r="E9" s="96">
        <v>0.48031776431800505</v>
      </c>
      <c r="F9" s="96">
        <v>1.3403327713441713</v>
      </c>
      <c r="G9" s="96">
        <v>0.34369438354557019</v>
      </c>
      <c r="H9" s="96">
        <v>1.4039144860030313</v>
      </c>
      <c r="I9" s="96">
        <v>0.56063639479159921</v>
      </c>
      <c r="J9" s="96">
        <v>0.56478003856458459</v>
      </c>
    </row>
    <row r="10" spans="1:10" ht="21.6" customHeight="1" x14ac:dyDescent="0.25">
      <c r="A10" s="54" t="s">
        <v>39</v>
      </c>
      <c r="B10" s="100">
        <v>4.9399999999999999E-2</v>
      </c>
      <c r="C10" s="97">
        <v>9.1800000000000007E-2</v>
      </c>
      <c r="D10" s="100">
        <v>7.4899999999999994E-2</v>
      </c>
      <c r="E10" s="100">
        <v>6.0299999999999999E-2</v>
      </c>
      <c r="F10" s="100">
        <v>6.4799999999999996E-2</v>
      </c>
      <c r="G10" s="100">
        <v>0.11849999999999999</v>
      </c>
      <c r="H10" s="100">
        <v>6.13E-2</v>
      </c>
      <c r="I10" s="100">
        <v>4.8800000000000003E-2</v>
      </c>
      <c r="J10" s="100">
        <v>0.214</v>
      </c>
    </row>
    <row r="11" spans="1:10" x14ac:dyDescent="0.25">
      <c r="A11" s="54" t="s">
        <v>40</v>
      </c>
      <c r="B11" s="100">
        <v>15.3285624578</v>
      </c>
      <c r="C11" s="97">
        <v>11.136672988700001</v>
      </c>
      <c r="D11" s="100">
        <v>17.837185994200002</v>
      </c>
      <c r="E11" s="100">
        <v>8.2092759029</v>
      </c>
      <c r="F11" s="100">
        <v>19.0715127498</v>
      </c>
      <c r="G11" s="100">
        <v>3.1497175924</v>
      </c>
      <c r="H11" s="100">
        <v>15.0737307785</v>
      </c>
      <c r="I11" s="100">
        <v>4.8023633299000004</v>
      </c>
      <c r="J11" s="100">
        <v>9.8129245732000001</v>
      </c>
    </row>
    <row r="12" spans="1:10" s="7" customFormat="1" x14ac:dyDescent="0.25">
      <c r="A12" s="9" t="s">
        <v>41</v>
      </c>
      <c r="B12" s="45">
        <v>1.2173</v>
      </c>
      <c r="C12" s="97">
        <v>1.0751142857142857</v>
      </c>
      <c r="D12" s="45">
        <v>1.1129</v>
      </c>
      <c r="E12" s="45">
        <v>0.50390000000000001</v>
      </c>
      <c r="F12" s="45">
        <v>1.0431999999999999</v>
      </c>
      <c r="G12" s="45">
        <v>1.7228000000000001</v>
      </c>
      <c r="H12" s="45">
        <v>1.0857000000000001</v>
      </c>
      <c r="I12" s="45">
        <v>0.94510000000000005</v>
      </c>
      <c r="J12" s="45">
        <v>1.1122000000000001</v>
      </c>
    </row>
    <row r="13" spans="1:10" s="7" customFormat="1" x14ac:dyDescent="0.25">
      <c r="A13" s="9" t="s">
        <v>42</v>
      </c>
      <c r="B13" s="45">
        <v>4.6022E-2</v>
      </c>
      <c r="C13" s="97">
        <v>0.31754014285714288</v>
      </c>
      <c r="D13" s="45">
        <v>0.24826599999999999</v>
      </c>
      <c r="E13" s="45">
        <v>0.43629199999999996</v>
      </c>
      <c r="F13" s="45">
        <v>0.212228</v>
      </c>
      <c r="G13" s="45">
        <v>0.30670200000000003</v>
      </c>
      <c r="H13" s="45">
        <v>7.9084000000000002E-2</v>
      </c>
      <c r="I13" s="45">
        <v>0.55071100000000006</v>
      </c>
      <c r="J13" s="45">
        <v>0.38949800000000001</v>
      </c>
    </row>
    <row r="14" spans="1:10" s="7" customFormat="1" x14ac:dyDescent="0.25">
      <c r="A14" s="9" t="s">
        <v>43</v>
      </c>
      <c r="B14" s="101">
        <v>0.15028098140000001</v>
      </c>
      <c r="C14" s="97">
        <v>0.9566330421</v>
      </c>
      <c r="D14" s="101">
        <v>1.0351038834999999</v>
      </c>
      <c r="E14" s="101">
        <v>2.9902692296</v>
      </c>
      <c r="F14" s="101">
        <v>-0.9735670448</v>
      </c>
      <c r="G14" s="101">
        <v>1.1950322868000001</v>
      </c>
      <c r="H14" s="101">
        <v>-0.48597588670000003</v>
      </c>
      <c r="I14" s="101">
        <v>5.2122207699999992E-2</v>
      </c>
      <c r="J14" s="101">
        <v>2.8834466186000003</v>
      </c>
    </row>
    <row r="15" spans="1:10" x14ac:dyDescent="0.25">
      <c r="A15" s="54" t="s">
        <v>45</v>
      </c>
      <c r="B15" s="44">
        <v>3.3599999999999998E-4</v>
      </c>
      <c r="C15" s="97">
        <v>1.2562571428571426E-2</v>
      </c>
      <c r="D15" s="44">
        <v>3.7379999999999997E-2</v>
      </c>
      <c r="E15" s="44">
        <v>2.6681E-2</v>
      </c>
      <c r="F15" s="44">
        <v>-2.5602E-2</v>
      </c>
      <c r="G15" s="44">
        <v>3.3126999999999997E-2</v>
      </c>
      <c r="H15" s="44">
        <v>-2.2224000000000001E-2</v>
      </c>
      <c r="I15" s="44">
        <v>-2.2959999999999999E-3</v>
      </c>
      <c r="J15" s="44">
        <v>4.0871999999999999E-2</v>
      </c>
    </row>
    <row r="16" spans="1:10" s="7" customFormat="1" ht="25.8" customHeight="1" x14ac:dyDescent="0.25">
      <c r="A16" s="9" t="s">
        <v>46</v>
      </c>
      <c r="B16" s="101">
        <v>0.38657624619999997</v>
      </c>
      <c r="C16" s="97">
        <v>3.960025903614286</v>
      </c>
      <c r="D16" s="101">
        <v>10.2221155702</v>
      </c>
      <c r="E16" s="101">
        <v>0.17057692579999997</v>
      </c>
      <c r="F16" s="101">
        <v>8.8335499707</v>
      </c>
      <c r="G16" s="101">
        <v>-0.67883666610000004</v>
      </c>
      <c r="H16" s="101">
        <v>4.7468869172000003</v>
      </c>
      <c r="I16" s="101">
        <v>1.8910646916999998</v>
      </c>
      <c r="J16" s="101">
        <v>2.5348239158000001</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214</v>
      </c>
      <c r="B1" s="121"/>
      <c r="C1" s="121"/>
      <c r="D1" s="121"/>
      <c r="E1" s="121"/>
      <c r="F1" s="121"/>
    </row>
    <row r="2" spans="1:6" x14ac:dyDescent="0.25">
      <c r="A2" s="51" t="s">
        <v>215</v>
      </c>
      <c r="B2" s="50" t="s">
        <v>216</v>
      </c>
      <c r="C2" s="50" t="s">
        <v>217</v>
      </c>
      <c r="D2" s="50" t="s">
        <v>218</v>
      </c>
      <c r="E2" s="50" t="s">
        <v>194</v>
      </c>
      <c r="F2" s="50" t="s">
        <v>219</v>
      </c>
    </row>
    <row r="3" spans="1:6" ht="48" customHeight="1" x14ac:dyDescent="0.25">
      <c r="A3" s="103">
        <v>43276</v>
      </c>
      <c r="B3" s="52" t="s">
        <v>220</v>
      </c>
      <c r="C3" s="104" t="s">
        <v>221</v>
      </c>
      <c r="D3" s="104"/>
      <c r="E3" s="52" t="s">
        <v>200</v>
      </c>
      <c r="F3" s="104" t="s">
        <v>222</v>
      </c>
    </row>
    <row r="4" spans="1:6" ht="49.5" customHeight="1" x14ac:dyDescent="0.25">
      <c r="A4" s="103">
        <v>43252</v>
      </c>
      <c r="B4" s="52" t="s">
        <v>223</v>
      </c>
      <c r="C4" s="104" t="s">
        <v>221</v>
      </c>
      <c r="D4" s="104"/>
      <c r="E4" s="52" t="s">
        <v>197</v>
      </c>
      <c r="F4" s="104" t="s">
        <v>224</v>
      </c>
    </row>
    <row r="5" spans="1:6" ht="57" x14ac:dyDescent="0.25">
      <c r="A5" s="103">
        <v>43235</v>
      </c>
      <c r="B5" s="52" t="s">
        <v>225</v>
      </c>
      <c r="C5" s="104" t="s">
        <v>221</v>
      </c>
      <c r="D5" s="104"/>
      <c r="E5" s="52" t="s">
        <v>226</v>
      </c>
      <c r="F5" s="104" t="s">
        <v>227</v>
      </c>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21" spans="1:6" x14ac:dyDescent="0.25">
      <c r="A21" s="140" t="s">
        <v>228</v>
      </c>
      <c r="B21" s="140"/>
      <c r="C21" s="140"/>
      <c r="D21" s="140"/>
      <c r="E21" s="140"/>
      <c r="F21" s="140"/>
    </row>
    <row r="22" spans="1:6" x14ac:dyDescent="0.25">
      <c r="A22" s="83" t="s">
        <v>215</v>
      </c>
      <c r="B22" s="83" t="s">
        <v>216</v>
      </c>
      <c r="C22" s="83" t="s">
        <v>229</v>
      </c>
      <c r="D22" s="83" t="s">
        <v>230</v>
      </c>
      <c r="E22" s="83" t="s">
        <v>194</v>
      </c>
      <c r="F22" s="83" t="s">
        <v>219</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231</v>
      </c>
      <c r="B1" s="121"/>
      <c r="C1" s="121"/>
      <c r="D1" s="121"/>
      <c r="E1" s="121"/>
      <c r="F1" s="121"/>
      <c r="G1" s="121"/>
      <c r="H1" s="121"/>
      <c r="I1" s="121"/>
      <c r="J1" s="121"/>
      <c r="K1" s="121"/>
      <c r="L1" s="121"/>
      <c r="M1" s="121"/>
      <c r="N1" s="121"/>
    </row>
    <row r="2" spans="1:18" s="1" customFormat="1" ht="25.5" customHeight="1" x14ac:dyDescent="0.25">
      <c r="A2" s="55" t="s">
        <v>232</v>
      </c>
      <c r="B2" s="55" t="s">
        <v>233</v>
      </c>
      <c r="C2" s="55" t="s">
        <v>234</v>
      </c>
      <c r="D2" s="55" t="s">
        <v>235</v>
      </c>
      <c r="E2" s="55" t="s">
        <v>236</v>
      </c>
      <c r="F2" s="55" t="s">
        <v>237</v>
      </c>
      <c r="G2" s="55" t="s">
        <v>238</v>
      </c>
      <c r="H2" s="55" t="s">
        <v>16</v>
      </c>
      <c r="I2" s="55" t="s">
        <v>239</v>
      </c>
      <c r="J2" s="55" t="s">
        <v>240</v>
      </c>
      <c r="K2" s="55" t="s">
        <v>241</v>
      </c>
      <c r="L2" s="55" t="s">
        <v>242</v>
      </c>
      <c r="M2" s="55" t="s">
        <v>19</v>
      </c>
      <c r="N2" s="55" t="s">
        <v>243</v>
      </c>
      <c r="O2" s="3"/>
      <c r="P2" s="107" t="str">
        <f ca="1">Q2</f>
        <v>2019-04-17</v>
      </c>
      <c r="Q2" s="1" t="str">
        <f ca="1">[1]!td(R2-1)</f>
        <v>2019-04-17</v>
      </c>
      <c r="R2" s="3">
        <f ca="1">TODAY()</f>
        <v>43573</v>
      </c>
    </row>
    <row r="3" spans="1:18" ht="15.75" customHeight="1" x14ac:dyDescent="0.25">
      <c r="A3" s="108" t="str">
        <f>[1]!b_info_name(L3)</f>
        <v>19太仓水务SCP002</v>
      </c>
      <c r="B3" s="2" t="str">
        <f>[1]!b_issue_firstissue(L3)</f>
        <v>2019-04-19</v>
      </c>
      <c r="C3" s="108">
        <f>[1]!b_info_term(L3)</f>
        <v>0.24660000000000001</v>
      </c>
      <c r="D3" s="109" t="str">
        <f>[1]!issuerrating(L3)</f>
        <v>AA</v>
      </c>
      <c r="E3" s="109" t="str">
        <f>[1]!b_info_creditrating(L3)</f>
        <v>-</v>
      </c>
      <c r="F3" s="108" t="str">
        <f>[1]!b_rate_creditratingagency(L3)</f>
        <v>联合资信评估有限公司</v>
      </c>
      <c r="G3" s="110">
        <f>[1]!b_agency_guarantor(L3)</f>
        <v>0</v>
      </c>
      <c r="H3" s="111" t="s">
        <v>244</v>
      </c>
      <c r="I3" s="65"/>
      <c r="J3" s="112" t="s">
        <v>244</v>
      </c>
      <c r="K3" s="113"/>
      <c r="L3" s="41" t="str">
        <f>公式页!A2</f>
        <v>d19041811.IB</v>
      </c>
      <c r="M3" s="111" t="s">
        <v>244</v>
      </c>
      <c r="N3" s="108" t="str">
        <f>[1]!b_agency_leadunderwriter(L3)</f>
        <v>中国银行股份有限公司</v>
      </c>
      <c r="P3" s="106" t="str">
        <f t="shared" ref="P3:P29" ca="1" si="0">$P$2</f>
        <v>2019-04-17</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3.7271000000000001</v>
      </c>
      <c r="K4" s="113">
        <f>K3</f>
        <v>0</v>
      </c>
      <c r="L4" s="4" t="s">
        <v>245</v>
      </c>
      <c r="M4" s="111">
        <f>[1]!b_info_issueamount(L4)/100000000</f>
        <v>5</v>
      </c>
      <c r="N4" s="108" t="str">
        <f>[1]!b_agency_leadunderwriter(L4)</f>
        <v>上海浦东发展银行股份有限公司,中国国际金融股份有限公司</v>
      </c>
      <c r="P4" s="106" t="str">
        <f t="shared" ca="1" si="0"/>
        <v>2019-04-17</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2019-04-17</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2019-04-17</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2019-04-17</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2019-04-17</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2019-04-17</v>
      </c>
    </row>
    <row r="10" spans="1:18" x14ac:dyDescent="0.25">
      <c r="P10" s="106" t="str">
        <f t="shared" ca="1" si="0"/>
        <v>2019-04-17</v>
      </c>
    </row>
    <row r="11" spans="1:18" x14ac:dyDescent="0.25">
      <c r="P11" s="106" t="str">
        <f t="shared" ca="1" si="0"/>
        <v>2019-04-17</v>
      </c>
    </row>
    <row r="12" spans="1:18" x14ac:dyDescent="0.25">
      <c r="A12" s="147" t="s">
        <v>246</v>
      </c>
      <c r="B12" s="121"/>
      <c r="C12" s="121"/>
      <c r="D12" s="121"/>
      <c r="E12" s="121"/>
      <c r="F12" s="121"/>
      <c r="G12" s="121"/>
      <c r="H12" s="121"/>
      <c r="I12" s="121"/>
      <c r="J12" s="121"/>
      <c r="K12" s="121"/>
      <c r="L12" s="121"/>
      <c r="M12" s="121"/>
      <c r="N12" s="121"/>
      <c r="P12" s="106" t="str">
        <f t="shared" ca="1" si="0"/>
        <v>2019-04-17</v>
      </c>
    </row>
    <row r="13" spans="1:18" s="1" customFormat="1" ht="43.2" customHeight="1" x14ac:dyDescent="0.25">
      <c r="A13" s="55" t="s">
        <v>232</v>
      </c>
      <c r="B13" s="55" t="s">
        <v>233</v>
      </c>
      <c r="C13" s="55" t="s">
        <v>234</v>
      </c>
      <c r="D13" s="55" t="s">
        <v>235</v>
      </c>
      <c r="E13" s="55" t="s">
        <v>236</v>
      </c>
      <c r="F13" s="55" t="s">
        <v>237</v>
      </c>
      <c r="G13" s="55" t="s">
        <v>238</v>
      </c>
      <c r="H13" s="55" t="s">
        <v>16</v>
      </c>
      <c r="I13" s="55" t="s">
        <v>239</v>
      </c>
      <c r="J13" s="55" t="s">
        <v>240</v>
      </c>
      <c r="K13" s="55" t="s">
        <v>241</v>
      </c>
      <c r="L13" s="55" t="s">
        <v>242</v>
      </c>
      <c r="M13" s="55" t="s">
        <v>19</v>
      </c>
      <c r="N13" s="55" t="s">
        <v>243</v>
      </c>
      <c r="P13" s="106" t="str">
        <f t="shared" ca="1" si="0"/>
        <v>2019-04-17</v>
      </c>
    </row>
    <row r="14" spans="1:18" ht="15.75" customHeight="1" x14ac:dyDescent="0.25">
      <c r="A14" s="108" t="str">
        <f>[1]!b_info_name(L14)</f>
        <v>19太仓水务SCP002</v>
      </c>
      <c r="B14" s="2" t="str">
        <f>[1]!b_issue_firstissue(L14)</f>
        <v>2019-04-19</v>
      </c>
      <c r="C14" s="108">
        <f>[1]!b_info_term(L14)</f>
        <v>0.24660000000000001</v>
      </c>
      <c r="D14" s="109" t="str">
        <f>[1]!issuerrating(L14)</f>
        <v>AA</v>
      </c>
      <c r="E14" s="109" t="str">
        <f>[1]!b_info_creditrating(L14)</f>
        <v>-</v>
      </c>
      <c r="F14" s="108" t="str">
        <f>[1]!b_rate_creditratingagency(L14)</f>
        <v>联合资信评估有限公司</v>
      </c>
      <c r="G14" s="110">
        <f>[1]!b_agency_guarantor(L14)</f>
        <v>0</v>
      </c>
      <c r="H14" s="111" t="s">
        <v>244</v>
      </c>
      <c r="I14" s="65"/>
      <c r="J14" s="112" t="s">
        <v>244</v>
      </c>
      <c r="K14" s="113">
        <f>K3</f>
        <v>0</v>
      </c>
      <c r="L14" s="42" t="str">
        <f>L3</f>
        <v>d19041811.IB</v>
      </c>
      <c r="M14" s="111" t="s">
        <v>244</v>
      </c>
      <c r="N14" s="108" t="str">
        <f>[1]!b_agency_leadunderwriter(L14)</f>
        <v>中国银行股份有限公司</v>
      </c>
      <c r="P14" s="106" t="str">
        <f t="shared" ca="1" si="0"/>
        <v>2019-04-17</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247</v>
      </c>
      <c r="M15" s="111">
        <f>[1]!b_info_issueamount(L15)/100000000</f>
        <v>5</v>
      </c>
      <c r="N15" s="108" t="str">
        <f>[1]!b_agency_leadunderwriter(L15)</f>
        <v>招商银行股份有限公司</v>
      </c>
      <c r="O15" t="str">
        <f>[1]!b_issuer_windindustry(L15,4)</f>
        <v>西药</v>
      </c>
      <c r="P15" s="106" t="str">
        <f t="shared" ca="1" si="0"/>
        <v>2019-04-17</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248</v>
      </c>
      <c r="M16" s="111">
        <f>[1]!b_info_issueamount(L16)/100000000</f>
        <v>6</v>
      </c>
      <c r="N16" s="108" t="str">
        <f>[1]!b_agency_leadunderwriter(L16)</f>
        <v>北京银行股份有限公司</v>
      </c>
      <c r="O16" t="str">
        <f>[1]!b_issuer_windindustry(L16,4)</f>
        <v>化肥与农用化工</v>
      </c>
      <c r="P16" s="106" t="str">
        <f t="shared" ca="1" si="0"/>
        <v>2019-04-17</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249</v>
      </c>
      <c r="M17" s="111">
        <f>[1]!b_info_issueamount(L17)/100000000</f>
        <v>3.5</v>
      </c>
      <c r="N17" s="108" t="str">
        <f>[1]!b_agency_leadunderwriter(L17)</f>
        <v>华夏银行股份有限公司</v>
      </c>
      <c r="O17" t="str">
        <f>[1]!b_issuer_windindustry(L17,4)</f>
        <v>食品加工与肉类</v>
      </c>
      <c r="P17" s="106" t="str">
        <f t="shared" ca="1" si="0"/>
        <v>2019-04-17</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250</v>
      </c>
      <c r="M18" s="111">
        <f>[1]!b_info_issueamount(L18)/100000000</f>
        <v>3</v>
      </c>
      <c r="N18" s="108" t="str">
        <f>[1]!b_agency_leadunderwriter(L18)</f>
        <v>兴业银行股份有限公司</v>
      </c>
      <c r="O18" t="str">
        <f>[1]!b_issuer_windindustry(L18,4)</f>
        <v>工业机械</v>
      </c>
      <c r="P18" s="106" t="str">
        <f t="shared" ca="1" si="0"/>
        <v>2019-04-17</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251</v>
      </c>
      <c r="M19" s="111">
        <f>[1]!b_info_issueamount(L19)/100000000</f>
        <v>3</v>
      </c>
      <c r="N19" s="108" t="str">
        <f>[1]!b_agency_leadunderwriter(L19)</f>
        <v>中国银行股份有限公司</v>
      </c>
      <c r="O19" t="str">
        <f>[1]!b_issuer_windindustry(L19,4)</f>
        <v>半导体产品</v>
      </c>
      <c r="P19" s="106" t="str">
        <f t="shared" ca="1" si="0"/>
        <v>2019-04-17</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252</v>
      </c>
      <c r="M20" s="111">
        <f>[1]!b_info_issueamount(L20)/100000000</f>
        <v>5</v>
      </c>
      <c r="N20" s="108" t="str">
        <f>[1]!b_agency_leadunderwriter(L20)</f>
        <v>中国银行股份有限公司</v>
      </c>
      <c r="O20" t="str">
        <f>[1]!b_issuer_windindustry(L20,4)</f>
        <v>医疗保健用品</v>
      </c>
      <c r="P20" s="106" t="str">
        <f t="shared" ca="1" si="0"/>
        <v>2019-04-17</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253</v>
      </c>
      <c r="M21" s="111">
        <f>[1]!b_info_issueamount(L21)/100000000</f>
        <v>2</v>
      </c>
      <c r="N21" s="108" t="str">
        <f>[1]!b_agency_leadunderwriter(L21)</f>
        <v>中国银行股份有限公司</v>
      </c>
      <c r="O21" t="str">
        <f>[1]!b_issuer_windindustry(L21,4)</f>
        <v>食品加工与肉类</v>
      </c>
      <c r="P21" s="106" t="str">
        <f t="shared" ca="1" si="0"/>
        <v>2019-04-17</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254</v>
      </c>
      <c r="M22" s="111">
        <f>[1]!b_info_issueamount(L22)/100000000</f>
        <v>4</v>
      </c>
      <c r="N22" s="108" t="str">
        <f>[1]!b_agency_leadunderwriter(L22)</f>
        <v>中国工商银行股份有限公司</v>
      </c>
      <c r="O22" t="str">
        <f>[1]!b_issuer_windindustry(L22,4)</f>
        <v>酒店、度假村与豪华游轮</v>
      </c>
      <c r="P22" s="106" t="str">
        <f t="shared" ca="1" si="0"/>
        <v>2019-04-17</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255</v>
      </c>
      <c r="M23" s="111">
        <f>[1]!b_info_issueamount(L23)/100000000</f>
        <v>4</v>
      </c>
      <c r="N23" s="108" t="str">
        <f>[1]!b_agency_leadunderwriter(L23)</f>
        <v>中国银行股份有限公司</v>
      </c>
      <c r="O23" t="str">
        <f>[1]!b_issuer_windindustry(L23,4)</f>
        <v>金属非金属</v>
      </c>
      <c r="P23" s="106" t="str">
        <f t="shared" ca="1" si="0"/>
        <v>2019-04-17</v>
      </c>
    </row>
    <row r="24" spans="1:16" x14ac:dyDescent="0.25">
      <c r="P24" s="106" t="str">
        <f t="shared" ca="1" si="0"/>
        <v>2019-04-17</v>
      </c>
    </row>
    <row r="25" spans="1:16" x14ac:dyDescent="0.25">
      <c r="P25" s="106" t="str">
        <f t="shared" ca="1" si="0"/>
        <v>2019-04-17</v>
      </c>
    </row>
    <row r="26" spans="1:16" x14ac:dyDescent="0.25">
      <c r="P26" s="106" t="str">
        <f t="shared" ca="1" si="0"/>
        <v>2019-04-17</v>
      </c>
    </row>
    <row r="27" spans="1:16" x14ac:dyDescent="0.25">
      <c r="P27" s="106" t="str">
        <f t="shared" ca="1" si="0"/>
        <v>2019-04-17</v>
      </c>
    </row>
    <row r="28" spans="1:16" x14ac:dyDescent="0.25">
      <c r="P28" s="106" t="str">
        <f t="shared" ca="1" si="0"/>
        <v>2019-04-17</v>
      </c>
    </row>
    <row r="29" spans="1:16" x14ac:dyDescent="0.25">
      <c r="P29" s="106" t="str">
        <f t="shared" ca="1" si="0"/>
        <v>2019-04-17</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2019-04-18T07:52:04Z</dcterms:modified>
</cp:coreProperties>
</file>