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F84950A5-3C51-4CFC-9B3B-1B83DCB8682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O23" i="6"/>
  <c r="F21" i="6"/>
  <c r="C20" i="6"/>
  <c r="M17" i="6"/>
  <c r="G16" i="6"/>
  <c r="D15"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H23" i="6"/>
  <c r="E22" i="6"/>
  <c r="B21" i="6"/>
  <c r="O19" i="6"/>
  <c r="F17" i="6"/>
  <c r="C16" i="6"/>
  <c r="D9" i="6"/>
  <c r="E8" i="6"/>
  <c r="B7" i="6"/>
  <c r="C6" i="6"/>
  <c r="D5" i="6"/>
  <c r="E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D23" i="6"/>
  <c r="E18" i="6"/>
  <c r="N9" i="6"/>
  <c r="A8" i="6"/>
  <c r="N5" i="6"/>
  <c r="A4" i="6"/>
  <c r="M137" i="1"/>
  <c r="O131" i="1"/>
  <c r="M128" i="1"/>
  <c r="M123" i="1"/>
  <c r="D112" i="1"/>
  <c r="L103" i="1"/>
  <c r="G101" i="1"/>
  <c r="E100" i="1"/>
  <c r="C99" i="1"/>
  <c r="B98" i="1"/>
  <c r="J97" i="1"/>
  <c r="Q96" i="1"/>
  <c r="F96" i="1"/>
  <c r="D95" i="1"/>
  <c r="D94" i="1"/>
  <c r="D93" i="1"/>
  <c r="E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A22" i="6"/>
  <c r="B17" i="6"/>
  <c r="O135" i="1"/>
  <c r="S130" i="1"/>
  <c r="O127" i="1"/>
  <c r="E102" i="1"/>
  <c r="C101" i="1"/>
  <c r="R99" i="1"/>
  <c r="P98" i="1"/>
  <c r="R97" i="1"/>
  <c r="G97" i="1"/>
  <c r="P96" i="1"/>
  <c r="E96" i="1"/>
  <c r="C95" i="1"/>
  <c r="B94" i="1"/>
  <c r="C93" i="1"/>
  <c r="D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N20" i="6"/>
  <c r="O15" i="6"/>
  <c r="M6" i="6"/>
  <c r="M141" i="1"/>
  <c r="M134" i="1"/>
  <c r="S110" i="1"/>
  <c r="R101" i="1"/>
  <c r="P100" i="1"/>
  <c r="N99" i="1"/>
  <c r="L98" i="1"/>
  <c r="O97" i="1"/>
  <c r="D97" i="1"/>
  <c r="M96" i="1"/>
  <c r="B96" i="1"/>
  <c r="F94" i="1"/>
  <c r="G93" i="1"/>
  <c r="B93"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H19" i="6"/>
  <c r="S132" i="1"/>
  <c r="F113" i="1"/>
  <c r="P103" i="1"/>
  <c r="E98" i="1"/>
  <c r="G95" i="1"/>
  <c r="G91" i="1"/>
  <c r="C89" i="1"/>
  <c r="E86" i="1"/>
  <c r="G83" i="1"/>
  <c r="C81" i="1"/>
  <c r="E78" i="1"/>
  <c r="G75" i="1"/>
  <c r="C73" i="1"/>
  <c r="E70" i="1"/>
  <c r="G67" i="1"/>
  <c r="C65" i="1"/>
  <c r="E62" i="1"/>
  <c r="G59" i="1"/>
  <c r="C57" i="1"/>
  <c r="E54" i="1"/>
  <c r="G51" i="1"/>
  <c r="C49" i="1"/>
  <c r="E46" i="1"/>
  <c r="G43" i="1"/>
  <c r="C41" i="1"/>
  <c r="E38" i="1"/>
  <c r="G35" i="1"/>
  <c r="C33" i="1"/>
  <c r="D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B7" i="1"/>
  <c r="M139" i="1"/>
  <c r="F92" i="1"/>
  <c r="E84" i="1"/>
  <c r="E76" i="1"/>
  <c r="G65" i="1"/>
  <c r="E60" i="1"/>
  <c r="G49" i="1"/>
  <c r="E44" i="1"/>
  <c r="G33" i="1"/>
  <c r="F30" i="1"/>
  <c r="J29" i="1"/>
  <c r="F28" i="1"/>
  <c r="J27" i="1"/>
  <c r="M26" i="1"/>
  <c r="J25" i="1"/>
  <c r="M24" i="1"/>
  <c r="O23" i="1"/>
  <c r="F22" i="1"/>
  <c r="J21" i="1"/>
  <c r="M20" i="1"/>
  <c r="O19" i="1"/>
  <c r="F18" i="1"/>
  <c r="J17" i="1"/>
  <c r="C16" i="1"/>
  <c r="C14" i="1"/>
  <c r="F8" i="1"/>
  <c r="D110" i="1"/>
  <c r="N101" i="1"/>
  <c r="N97" i="1"/>
  <c r="E94" i="1"/>
  <c r="C91" i="1"/>
  <c r="E88" i="1"/>
  <c r="G85" i="1"/>
  <c r="C83" i="1"/>
  <c r="E80" i="1"/>
  <c r="G77" i="1"/>
  <c r="C75" i="1"/>
  <c r="E72" i="1"/>
  <c r="G69" i="1"/>
  <c r="C67" i="1"/>
  <c r="E64" i="1"/>
  <c r="G61" i="1"/>
  <c r="C59" i="1"/>
  <c r="E56" i="1"/>
  <c r="G53" i="1"/>
  <c r="C51" i="1"/>
  <c r="E48" i="1"/>
  <c r="G45" i="1"/>
  <c r="C43" i="1"/>
  <c r="E40" i="1"/>
  <c r="G37" i="1"/>
  <c r="C35" i="1"/>
  <c r="E32" i="1"/>
  <c r="C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14" i="1"/>
  <c r="B9" i="1"/>
  <c r="G99" i="1"/>
  <c r="G89" i="1"/>
  <c r="G81" i="1"/>
  <c r="G73" i="1"/>
  <c r="E68" i="1"/>
  <c r="G57" i="1"/>
  <c r="E52" i="1"/>
  <c r="G41" i="1"/>
  <c r="E36" i="1"/>
  <c r="B30" i="1"/>
  <c r="D29" i="1"/>
  <c r="M28" i="1"/>
  <c r="O27" i="1"/>
  <c r="Q26" i="1"/>
  <c r="O25" i="1"/>
  <c r="Q24" i="1"/>
  <c r="B24" i="1"/>
  <c r="D23" i="1"/>
  <c r="B22" i="1"/>
  <c r="D21" i="1"/>
  <c r="F20" i="1"/>
  <c r="J19" i="1"/>
  <c r="B18" i="1"/>
  <c r="D17" i="1"/>
  <c r="P15" i="1"/>
  <c r="E15" i="1"/>
  <c r="G14" i="1"/>
  <c r="B6" i="1"/>
  <c r="L100" i="1"/>
  <c r="C97" i="1"/>
  <c r="F93" i="1"/>
  <c r="E90" i="1"/>
  <c r="G87" i="1"/>
  <c r="C85" i="1"/>
  <c r="E82" i="1"/>
  <c r="G79" i="1"/>
  <c r="C77" i="1"/>
  <c r="E74" i="1"/>
  <c r="G71" i="1"/>
  <c r="C69" i="1"/>
  <c r="E66" i="1"/>
  <c r="G63" i="1"/>
  <c r="C61" i="1"/>
  <c r="E58" i="1"/>
  <c r="G55" i="1"/>
  <c r="C53" i="1"/>
  <c r="E50" i="1"/>
  <c r="G47" i="1"/>
  <c r="C45" i="1"/>
  <c r="E42" i="1"/>
  <c r="G39" i="1"/>
  <c r="C37" i="1"/>
  <c r="E34" i="1"/>
  <c r="G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B11" i="1"/>
  <c r="E4" i="1"/>
  <c r="L96" i="1"/>
  <c r="C87" i="1"/>
  <c r="C79" i="1"/>
  <c r="C71" i="1"/>
  <c r="C63" i="1"/>
  <c r="C55" i="1"/>
  <c r="C47" i="1"/>
  <c r="C39" i="1"/>
  <c r="E31" i="1"/>
  <c r="O29" i="1"/>
  <c r="Q28" i="1"/>
  <c r="B28" i="1"/>
  <c r="D27" i="1"/>
  <c r="F26" i="1"/>
  <c r="B26" i="1"/>
  <c r="D25" i="1"/>
  <c r="F24" i="1"/>
  <c r="J23" i="1"/>
  <c r="O21" i="1"/>
  <c r="Q20" i="1"/>
  <c r="B20" i="1"/>
  <c r="D19" i="1"/>
  <c r="O17" i="1"/>
  <c r="G16" i="1"/>
  <c r="L15" i="1"/>
  <c r="F10" i="1"/>
  <c r="B4" i="1"/>
  <c r="L22" i="1" l="1"/>
  <c r="B129" i="1"/>
  <c r="H122" i="1"/>
  <c r="M22" i="1"/>
  <c r="H110" i="1"/>
  <c r="B124" i="1"/>
  <c r="B131" i="1"/>
  <c r="P22" i="1"/>
  <c r="D117" i="1"/>
  <c r="H120" i="1"/>
  <c r="D125" i="1"/>
  <c r="Q22" i="1"/>
  <c r="B118" i="1"/>
  <c r="D121" i="1"/>
  <c r="B127"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7" i="6"/>
  <c r="J9" i="6"/>
  <c r="J22" i="6"/>
  <c r="J15" i="6"/>
  <c r="J23" i="6"/>
  <c r="J5" i="6"/>
  <c r="J18" i="6"/>
  <c r="J20" i="6"/>
  <c r="J6" i="6"/>
  <c r="J19" i="6"/>
  <c r="J21" i="6"/>
  <c r="J16" i="6"/>
</calcChain>
</file>

<file path=xl/sharedStrings.xml><?xml version="1.0" encoding="utf-8"?>
<sst xmlns="http://schemas.openxmlformats.org/spreadsheetml/2006/main" count="477" uniqueCount="214">
  <si>
    <t>d19041804.IB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</si>
  <si>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</si>
  <si>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</si>
  <si>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</si>
  <si>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</si>
  <si>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</si>
  <si>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</si>
  <si>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</si>
  <si>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</si>
  <si>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</si>
  <si>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</si>
  <si>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</si>
  <si>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</si>
  <si>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</si>
  <si>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</si>
  <si>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</si>
  <si>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</si>
  <si>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</si>
  <si>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</si>
  <si>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</si>
  <si>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</si>
  <si>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</si>
  <si>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</si>
  <si>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041560082.IB</t>
  </si>
  <si>
    <t>主体级别</t>
  </si>
  <si>
    <t>AA+</t>
  </si>
  <si>
    <t>122094.SH</t>
  </si>
  <si>
    <t>*选择性黏贴</t>
  </si>
  <si>
    <t>041351059.IB</t>
  </si>
  <si>
    <t>数据年度</t>
  </si>
  <si>
    <t>2017年</t>
  </si>
  <si>
    <t>1382241.IB</t>
  </si>
  <si>
    <t>总资产</t>
  </si>
  <si>
    <t>101468002.IB</t>
  </si>
  <si>
    <t>负债率</t>
  </si>
  <si>
    <t>1182263.IB</t>
  </si>
  <si>
    <t>流动比率</t>
  </si>
  <si>
    <t>041464042.IB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</si>
  <si>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</si>
  <si>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</si>
  <si>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</si>
  <si>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</si>
  <si>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</si>
  <si>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</si>
  <si>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</si>
  <si>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</si>
  <si>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</si>
  <si>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</si>
  <si>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</si>
  <si>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</si>
  <si>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</si>
  <si>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</si>
  <si>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</si>
  <si>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</si>
  <si>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</si>
  <si>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</si>
  <si>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</si>
  <si>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</si>
  <si>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</si>
  <si>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</si>
  <si>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</si>
  <si>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</si>
  <si>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</si>
  <si>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</si>
  <si>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</si>
  <si>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</si>
  <si>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</si>
  <si>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</si>
  <si>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</si>
  <si>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</si>
  <si>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</si>
  <si>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</si>
  <si>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</si>
  <si>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</si>
  <si>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</si>
  <si>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</si>
  <si>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</si>
  <si>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</si>
  <si>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</si>
  <si>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</si>
  <si>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</si>
  <si>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</si>
  <si>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</si>
  <si>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</si>
  <si>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</si>
  <si>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</si>
  <si>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</si>
  <si>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</si>
  <si>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</si>
  <si>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</si>
  <si>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</si>
  <si>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</si>
  <si>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</si>
  <si>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</si>
  <si>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</si>
  <si>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</si>
  <si>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</si>
  <si>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</si>
  <si>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</si>
  <si>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</si>
  <si>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</si>
  <si>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</si>
  <si>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</si>
  <si>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</si>
  <si>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</si>
  <si>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</si>
  <si>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</si>
  <si>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</si>
  <si>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</si>
  <si>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</si>
  <si>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</si>
  <si>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</si>
  <si>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</si>
  <si>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</si>
  <si>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</si>
  <si>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</si>
  <si>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</si>
  <si>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</si>
  <si>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</si>
  <si>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</si>
  <si>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</si>
  <si>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011801607.IB</t>
  </si>
  <si>
    <t>20180820</t>
  </si>
  <si>
    <t>18康恩贝SCP001</t>
  </si>
  <si>
    <t>136713.SH</t>
  </si>
  <si>
    <t>20160923</t>
  </si>
  <si>
    <t>16康恩贝</t>
  </si>
  <si>
    <t>122076.SH</t>
  </si>
  <si>
    <t>20110608</t>
  </si>
  <si>
    <t>11康恩贝</t>
  </si>
  <si>
    <t>历史主体评级</t>
  </si>
  <si>
    <t>发布日期</t>
  </si>
  <si>
    <t>主体资信级别</t>
  </si>
  <si>
    <t>评级展望</t>
  </si>
  <si>
    <t>评级机构</t>
  </si>
  <si>
    <t>20180621</t>
  </si>
  <si>
    <t>稳定</t>
  </si>
  <si>
    <t>鹏元资信评估有限公司</t>
  </si>
  <si>
    <t>20180611</t>
  </si>
  <si>
    <t>上海新世纪资信评估投资服务有限公司</t>
  </si>
  <si>
    <t>20170531</t>
  </si>
  <si>
    <t>20160426</t>
  </si>
  <si>
    <t>20150521</t>
  </si>
  <si>
    <t>AA</t>
  </si>
  <si>
    <t>20140324</t>
  </si>
  <si>
    <t>20130521</t>
  </si>
  <si>
    <t>20120517</t>
  </si>
  <si>
    <t>20110504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</si>
  <si>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</si>
  <si>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</si>
  <si>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</si>
  <si>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</si>
  <si>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</si>
  <si>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</si>
  <si>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</si>
  <si>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</si>
  <si>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</si>
  <si>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</si>
  <si>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</si>
  <si>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</si>
  <si>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中诚信国际信用评级有限责任公司</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</si>
  <si>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</si>
  <si>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</si>
  <si>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</si>
  <si>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</si>
  <si>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</si>
  <si>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</si>
  <si>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中诚信证券评估有限公司</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</si>
  <si>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</si>
  <si>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</si>
  <si>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</si>
  <si>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联合信用评级有限公司</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</si>
  <si>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</si>
  <si>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</si>
  <si>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</si>
  <si>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</si>
  <si>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</si>
  <si>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</si>
  <si>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</si>
  <si>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</si>
  <si>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</si>
  <si>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</si>
  <si>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</si>
  <si>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</si>
  <si>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</si>
  <si>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</si>
  <si>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</si>
  <si>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</si>
  <si>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</si>
  <si>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</si>
  <si>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</si>
  <si>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</si>
  <si>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</si>
  <si>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</si>
  <si>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</si>
  <si>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</si>
  <si>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</si>
  <si>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</si>
  <si>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浙江康恩贝制药股份有限公司</t>
  </si>
  <si>
    <t>民营企业</t>
  </si>
  <si>
    <t>医疗保健--制药、生物科技与生命科学--制药--中药</t>
  </si>
  <si>
    <t>浙江省金华市兰溪市康恩贝大道1号</t>
  </si>
  <si>
    <t>公司是一家以现代中药和植物药为核心业务的制药企业集团，经过三十多年的发展，已成为中国中药十强，浙江制药工业龙头企业。多年来，公司通过实施以用户为中心的全产业链经营，努力为用户全面构筑安全、绿色的质量屏障。公司在浙江、江西、云南、内蒙古、湖北、上海、贵州等多个省市建有种植、研发、生产、营销基地，并以国家级企业技术中心、国家级博士后科研工作站、国家创新型示范企业、院士工作站等技术平台为依托，实施创新驱动。康恩贝、前列康、天保宁、金奥康、阿乐欣、珍视明等品牌和产品在市场上已经赢得了良好的美誉度，成为细分领域的优势品牌。</t>
  </si>
  <si>
    <t>康恩贝集团有限公司</t>
  </si>
  <si>
    <t>胡季强</t>
  </si>
  <si>
    <t>华鑫信托·专户投资21号单一资金信托</t>
  </si>
  <si>
    <t>中国证券金融股份有限公司</t>
  </si>
  <si>
    <t>朱麟</t>
  </si>
  <si>
    <t>武汉当代科技产业集团股份有限公司</t>
  </si>
  <si>
    <t>浙江海正药业股份有限公司</t>
  </si>
  <si>
    <t>浙江海正集团有限公司</t>
  </si>
  <si>
    <t>天津市医药集团有限公司</t>
  </si>
  <si>
    <t>健康元药业集团股份有限公司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</si>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</sst>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浙江康恩贝制药股份有限公司</v>
      </c>
      <c r="C4" s="120"/>
      <c r="D4" s="57" t="s">
        <v>3</v>
      </c>
      <c r="E4" s="119" t="str">
        <f>[1]!s_info_nature(A2)</f>
        <v>民营企业</v>
      </c>
      <c r="F4" s="120"/>
      <c r="G4" s="120"/>
      <c r="H4" s="19"/>
    </row>
    <row r="5" spans="1:20" s="17" customFormat="1" ht="14.25" customHeight="1" x14ac:dyDescent="0.25">
      <c r="A5" s="57" t="s">
        <v>4</v>
      </c>
      <c r="B5" s="119" t="str">
        <f>[1]!b_issuer_windindustry(A2,9)</f>
        <v>医疗保健--制药、生物科技与生命科学--制药--中药</v>
      </c>
      <c r="C5" s="120"/>
      <c r="D5" s="57" t="s">
        <v>5</v>
      </c>
      <c r="E5" s="119" t="str">
        <f>[1]!b_issuer_regaddress(A2)</f>
        <v>浙江省金华市兰溪市康恩贝大道1号</v>
      </c>
      <c r="F5" s="120"/>
      <c r="G5" s="120"/>
    </row>
    <row r="6" spans="1:20" s="17" customFormat="1" ht="81" customHeight="1" x14ac:dyDescent="0.25">
      <c r="A6" s="57" t="s">
        <v>6</v>
      </c>
      <c r="B6" s="121" t="str">
        <f>[1]!s_info_briefing(A2)</f>
        <v>公司是一家以现代中药和植物药为核心业务的制药企业集团，经过三十多年的发展，已成为中国中药十强，浙江制药工业龙头企业。多年来，公司通过实施以用户为中心的全产业链经营，努力为用户全面构筑安全、绿色的质量屏障。公司在浙江、江西、云南、内蒙古、湖北、上海、贵州等多个省市建有种植、研发、生产、营销基地，并以国家级企业技术中心、国家级博士后科研工作站、国家创新型示范企业、院士工作站等技术平台为依托，实施创新驱动。康恩贝、前列康、天保宁、金奥康、阿乐欣、珍视明等品牌和产品在市场上已经赢得了良好的美誉度，成为细分领域的优势品牌。</v>
      </c>
      <c r="C6" s="120"/>
      <c r="D6" s="120"/>
      <c r="E6" s="120"/>
      <c r="F6" s="120"/>
      <c r="G6" s="120"/>
    </row>
    <row r="7" spans="1:20" s="17" customFormat="1" x14ac:dyDescent="0.25">
      <c r="A7" s="59" t="s">
        <v>7</v>
      </c>
      <c r="B7" s="122" t="str">
        <f>[1]!b_issuer_shareholder(A2,"",1)</f>
        <v>康恩贝集团有限公司</v>
      </c>
      <c r="C7" s="120"/>
      <c r="D7" s="120"/>
      <c r="E7" s="120"/>
      <c r="F7" s="61">
        <f>[1]!b_issuer_propofshareholder($A$2,"",1)%</f>
        <v>0.26520000457763671</v>
      </c>
      <c r="G7" s="60"/>
      <c r="H7" s="20" t="s">
        <v>8</v>
      </c>
      <c r="M7" s="24">
        <v>42004</v>
      </c>
      <c r="N7" s="24">
        <v>42369</v>
      </c>
      <c r="O7" s="24">
        <v>41639</v>
      </c>
      <c r="P7" s="62" t="s">
        <v>9</v>
      </c>
      <c r="Q7" s="62" t="s">
        <v>10</v>
      </c>
      <c r="R7" s="62" t="s">
        <v>11</v>
      </c>
    </row>
    <row r="8" spans="1:20" s="17" customFormat="1" x14ac:dyDescent="0.25">
      <c r="A8" s="59"/>
      <c r="B8" s="122" t="str">
        <f>[1]!b_issuer_shareholder(A2,"",2)</f>
        <v>胡季强</v>
      </c>
      <c r="C8" s="120"/>
      <c r="D8" s="120"/>
      <c r="E8" s="120"/>
      <c r="F8" s="61">
        <f>[1]!b_issuer_propofshareholder($A$2,"",2)%</f>
        <v>8.8000001907348635E-2</v>
      </c>
      <c r="G8" s="60"/>
      <c r="H8" s="20"/>
      <c r="M8" s="25"/>
      <c r="O8" s="25"/>
      <c r="P8" s="63"/>
    </row>
    <row r="9" spans="1:20" s="17" customFormat="1" x14ac:dyDescent="0.25">
      <c r="A9" s="59"/>
      <c r="B9" s="122" t="str">
        <f>[1]!b_issuer_shareholder(A2,"",3)</f>
        <v>华鑫信托·专户投资21号单一资金信托</v>
      </c>
      <c r="C9" s="120"/>
      <c r="D9" s="120"/>
      <c r="E9" s="120"/>
      <c r="F9" s="61">
        <f>[1]!b_issuer_propofshareholder($A$2,"",3)%</f>
        <v>4.5599999427795412E-2</v>
      </c>
      <c r="G9" s="60"/>
      <c r="H9" s="20"/>
      <c r="M9" s="25"/>
      <c r="O9" s="25"/>
      <c r="P9" s="63"/>
    </row>
    <row r="10" spans="1:20" s="17" customFormat="1" x14ac:dyDescent="0.25">
      <c r="A10" s="59"/>
      <c r="B10" s="122" t="str">
        <f>[1]!b_issuer_shareholder(A2,"",4)</f>
        <v>中国证券金融股份有限公司</v>
      </c>
      <c r="C10" s="120"/>
      <c r="D10" s="120"/>
      <c r="E10" s="120"/>
      <c r="F10" s="61">
        <f>[1]!b_issuer_propofshareholder($A$2,"",4)%</f>
        <v>4.3800001144409177E-2</v>
      </c>
      <c r="G10" s="60"/>
      <c r="H10" s="20"/>
      <c r="M10" s="25"/>
      <c r="O10" s="25"/>
      <c r="P10" s="63"/>
    </row>
    <row r="11" spans="1:20" s="17" customFormat="1" x14ac:dyDescent="0.25">
      <c r="A11" s="59"/>
      <c r="B11" s="122" t="str">
        <f>[1]!b_issuer_shareholder(A2,"",5)</f>
        <v>朱麟</v>
      </c>
      <c r="C11" s="120"/>
      <c r="D11" s="120"/>
      <c r="E11" s="120"/>
      <c r="F11" s="61">
        <f>[1]!b_issuer_propofshareholder($A$2,"",5)%</f>
        <v>4.1500000953674315E-2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d19041804.IB</v>
      </c>
      <c r="K14" s="26"/>
      <c r="L14" s="27" t="str">
        <f>T15</f>
        <v>041560082.IB</v>
      </c>
      <c r="M14" s="27" t="str">
        <f>T16</f>
        <v>122094.SH</v>
      </c>
      <c r="N14" s="27" t="str">
        <f>T17</f>
        <v>041351059.IB</v>
      </c>
      <c r="O14" s="27" t="str">
        <f>T18</f>
        <v>1382241.IB</v>
      </c>
      <c r="P14" s="27" t="str">
        <f>T19</f>
        <v>101468002.IB</v>
      </c>
      <c r="Q14" s="27" t="str">
        <f>T20</f>
        <v>1182263.IB</v>
      </c>
      <c r="R14" s="5" t="str">
        <f>T21</f>
        <v>041464042.IB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浙江康恩贝制药股份有限公司</v>
      </c>
      <c r="K15" s="138"/>
      <c r="L15" s="8" t="str">
        <f>[1]!b_info_issuer(L14)</f>
        <v>武汉当代科技产业集团股份有限公司</v>
      </c>
      <c r="M15" s="8" t="str">
        <f>[1]!b_info_issuer(M14)</f>
        <v>浙江海正药业股份有限公司</v>
      </c>
      <c r="N15" s="8" t="str">
        <f>[1]!b_info_issuer(N14)</f>
        <v>康美药业股份有限公司</v>
      </c>
      <c r="O15" s="8" t="str">
        <f>[1]!b_info_issuer(O14)</f>
        <v>浙江海正集团有限公司</v>
      </c>
      <c r="P15" s="8" t="str">
        <f>[1]!b_info_issuer(P14)</f>
        <v>天津市医药集团有限公司</v>
      </c>
      <c r="Q15" s="8" t="str">
        <f>[1]!b_info_issuer(Q14)</f>
        <v>四川科伦药业股份有限公司</v>
      </c>
      <c r="R15" s="8" t="str">
        <f>[1]!b_info_issuer(R14)</f>
        <v>健康元药业集团股份有限公司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4"/>
      <c r="L17" s="67" t="str">
        <f>[1]!s_info_nature(L14)</f>
        <v>民营企业</v>
      </c>
      <c r="M17" s="67" t="str">
        <f>[1]!s_info_nature(M14)</f>
        <v>地方国有企业</v>
      </c>
      <c r="N17" s="67" t="str">
        <f>[1]!s_info_nature(N14)</f>
        <v>民营企业</v>
      </c>
      <c r="O17" s="67" t="str">
        <f>[1]!s_info_nature(O14)</f>
        <v>地方国有企业</v>
      </c>
      <c r="P17" s="67" t="str">
        <f>[1]!s_info_nature(P14)</f>
        <v>地方国有企业</v>
      </c>
      <c r="Q17" s="67" t="str">
        <f>[1]!s_info_nature(Q14)</f>
        <v>民营企业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94.202212339500008</v>
      </c>
      <c r="K19" s="124"/>
      <c r="L19" s="68">
        <f>[1]!b_stm07_bs(L14,74,L13,1)/100000000</f>
        <v>789.67711506979992</v>
      </c>
      <c r="M19" s="68">
        <f>[1]!b_stm07_bs(M14,74,M13,1)/100000000</f>
        <v>216.36418678909999</v>
      </c>
      <c r="N19" s="68">
        <f>[1]!b_stm07_bs(N14,74,N13,1)/100000000</f>
        <v>687.22020630609995</v>
      </c>
      <c r="O19" s="68">
        <f>[1]!b_stm07_bs(O14,74,O13,1)/100000000</f>
        <v>227.87367368860001</v>
      </c>
      <c r="P19" s="68">
        <f>[1]!b_stm07_bs(P14,74,P13,1)/100000000</f>
        <v>517.46911444339992</v>
      </c>
      <c r="Q19" s="68">
        <f>[1]!b_stm07_bs(Q14,74,Q13,1)/100000000</f>
        <v>279.88160462000002</v>
      </c>
      <c r="R19" s="68">
        <f>[1]!b_stm07_bs(R14,74,R13,1)/100000000</f>
        <v>222.11585894619998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0.37966900000000003</v>
      </c>
      <c r="K20" s="124"/>
      <c r="L20" s="10">
        <f>[1]!s_fa_debttoassets(L14,L13)/100</f>
        <v>0.54918100000000003</v>
      </c>
      <c r="M20" s="10">
        <f>[1]!s_fa_debttoassets(M14,M13)/100</f>
        <v>0.63601700000000005</v>
      </c>
      <c r="N20" s="10">
        <f>[1]!s_fa_debttoassets(N14,N13)/100</f>
        <v>0.53239199999999998</v>
      </c>
      <c r="O20" s="10">
        <f>[1]!s_fa_debttoassets(O14,O13)/100</f>
        <v>0.66824299999999992</v>
      </c>
      <c r="P20" s="10">
        <f>[1]!s_fa_debttoassets(P14,P13)/100</f>
        <v>0.55184299999999997</v>
      </c>
      <c r="Q20" s="10">
        <f>[1]!s_fa_debttoassets(Q14,Q13)/100</f>
        <v>0.57187399999999999</v>
      </c>
      <c r="R20" s="10">
        <f>[1]!s_fa_debttoassets(R14,R13)/100</f>
        <v>0.386903</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2.0041000000000002</v>
      </c>
      <c r="K21" s="124"/>
      <c r="L21" s="68">
        <f>[1]!s_fa_current(L14,L13)</f>
        <v>1.35</v>
      </c>
      <c r="M21" s="68">
        <f>[1]!s_fa_current(M14,M13)</f>
        <v>0.85929999999999995</v>
      </c>
      <c r="N21" s="68">
        <f>[1]!s_fa_current(N14,N13)</f>
        <v>2.2056</v>
      </c>
      <c r="O21" s="68">
        <f>[1]!s_fa_current(O14,O13)</f>
        <v>0.80010000000000003</v>
      </c>
      <c r="P21" s="68">
        <f>[1]!s_fa_current(P14,P13)</f>
        <v>1.2655000000000001</v>
      </c>
      <c r="Q21" s="68">
        <f>[1]!s_fa_current(Q14,Q13)</f>
        <v>0.97699999999999998</v>
      </c>
      <c r="R21" s="68">
        <f>[1]!s_fa_current(R14,R13)</f>
        <v>2.0663999999999998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0.27620845900506136</v>
      </c>
      <c r="K22" s="124"/>
      <c r="L22" s="66">
        <f>(公式页!L96+公式页!L97+公式页!L98+公式页!L99+公式页!L100+公式页!L101)/公式页!L103</f>
        <v>0.77336537006488304</v>
      </c>
      <c r="M22" s="66">
        <f t="shared" ref="M22:R22" si="0">(M96+M97+M98+M99+M100+M101)/M103</f>
        <v>1.3620219369271049</v>
      </c>
      <c r="N22" s="66">
        <f t="shared" si="0"/>
        <v>0.70576402855433684</v>
      </c>
      <c r="O22" s="66">
        <f t="shared" si="0"/>
        <v>1.6333741193463229</v>
      </c>
      <c r="P22" s="66">
        <f t="shared" si="0"/>
        <v>0.78054066745554429</v>
      </c>
      <c r="Q22" s="66">
        <f t="shared" si="0"/>
        <v>0.63648217177664235</v>
      </c>
      <c r="R22" s="66">
        <f t="shared" si="0"/>
        <v>0.19765599269668649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0.3266</v>
      </c>
      <c r="K23" s="124"/>
      <c r="L23" s="68">
        <f>[1]!s_fa_ebitdatodebt(L14,L13)</f>
        <v>0.1232</v>
      </c>
      <c r="M23" s="68">
        <f>[1]!s_fa_ebitdatodebt(M14,M13)</f>
        <v>9.5000000000000001E-2</v>
      </c>
      <c r="N23" s="68">
        <f>[1]!s_fa_ebitdatodebt(N14,N13)</f>
        <v>0.17130000000000001</v>
      </c>
      <c r="O23" s="68">
        <f>[1]!s_fa_ebitdatodebt(O14,O13)</f>
        <v>9.1800000000000007E-2</v>
      </c>
      <c r="P23" s="68">
        <f>[1]!s_fa_ebitdatodebt(P14,P13)</f>
        <v>8.2299999999999998E-2</v>
      </c>
      <c r="Q23" s="68">
        <f>[1]!s_fa_ebitdatodebt(Q14,Q13)</f>
        <v>0.15340000000000001</v>
      </c>
      <c r="R23" s="68">
        <f>[1]!s_fa_ebitdatodebt(R14,R13)</f>
        <v>0.76100000000000001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52.939667788400001</v>
      </c>
      <c r="K24" s="124"/>
      <c r="L24" s="68">
        <f>[1]!b_stm07_is(L14,9,L13,1)/100000000</f>
        <v>232.11105445619998</v>
      </c>
      <c r="M24" s="68">
        <f>[1]!b_stm07_is(M14,9,M13,1)/100000000</f>
        <v>105.7152672316</v>
      </c>
      <c r="N24" s="68">
        <f>[1]!b_stm07_is(N14,9,N13,1)/100000000</f>
        <v>264.76970977569999</v>
      </c>
      <c r="O24" s="68">
        <f>[1]!b_stm07_is(O14,9,O13,1)/100000000</f>
        <v>108.63452218739999</v>
      </c>
      <c r="P24" s="68">
        <f>[1]!b_stm07_is(P14,9,P13,1)/100000000</f>
        <v>203.3473201482</v>
      </c>
      <c r="Q24" s="68">
        <f>[1]!b_stm07_is(Q14,9,Q13,1)/100000000</f>
        <v>114.34948841000001</v>
      </c>
      <c r="R24" s="68">
        <f>[1]!b_stm07_is(R14,9,R13,1)/100000000</f>
        <v>107.79258187809999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0.97619999999999996</v>
      </c>
      <c r="K25" s="124"/>
      <c r="L25" s="11">
        <f>[1]!s_fa_salescashintoor(L14,L13)%</f>
        <v>1.0928</v>
      </c>
      <c r="M25" s="11">
        <f>[1]!s_fa_salescashintoor(M14,M13)%</f>
        <v>0.9788</v>
      </c>
      <c r="N25" s="11">
        <f>[1]!s_fa_salescashintoor(N14,N13)%</f>
        <v>1.0865</v>
      </c>
      <c r="O25" s="11">
        <f>[1]!s_fa_salescashintoor(O14,O13)%</f>
        <v>0.98540000000000005</v>
      </c>
      <c r="P25" s="11">
        <f>[1]!s_fa_salescashintoor(P14,P13)%</f>
        <v>0.94269999999999998</v>
      </c>
      <c r="Q25" s="11">
        <f>[1]!s_fa_salescashintoor(Q14,Q13)%</f>
        <v>1.0561</v>
      </c>
      <c r="R25" s="11">
        <f>[1]!s_fa_salescashintoor(R14,R13)%</f>
        <v>1.0474000000000001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0.72628899999999996</v>
      </c>
      <c r="K26" s="124"/>
      <c r="L26" s="11">
        <f>[1]!s_fa_grossprofitmargin(L14,L13)%</f>
        <v>0.34087899999999999</v>
      </c>
      <c r="M26" s="11">
        <f>[1]!s_fa_grossprofitmargin(M14,M13)%</f>
        <v>0.31521500000000002</v>
      </c>
      <c r="N26" s="11">
        <f>[1]!s_fa_grossprofitmargin(N14,N13)%</f>
        <v>0.30316199999999999</v>
      </c>
      <c r="O26" s="11">
        <f>[1]!s_fa_grossprofitmargin(O14,O13)%</f>
        <v>0.31289699999999998</v>
      </c>
      <c r="P26" s="11">
        <f>[1]!s_fa_grossprofitmargin(P14,P13)%</f>
        <v>0.25941999999999998</v>
      </c>
      <c r="Q26" s="11">
        <f>[1]!s_fa_grossprofitmargin(Q14,Q13)%</f>
        <v>0.51309199999999999</v>
      </c>
      <c r="R26" s="11">
        <f>[1]!s_fa_grossprofitmargin(R14,R13)%</f>
        <v>0.62816400000000006</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7.2997484738000002</v>
      </c>
      <c r="K27" s="124"/>
      <c r="L27" s="69">
        <f>[1]!b_stm07_is(L14,60,L13,1)/100000000</f>
        <v>26.982142140100002</v>
      </c>
      <c r="M27" s="69">
        <f>[1]!b_stm07_is(M14,60,M13,1)/100000000</f>
        <v>2.3156622324999998</v>
      </c>
      <c r="N27" s="69">
        <f>[1]!b_stm07_is(N14,60,N13,1)/100000000</f>
        <v>40.946462371799996</v>
      </c>
      <c r="O27" s="69">
        <f>[1]!b_stm07_is(O14,60,O13,1)/100000000</f>
        <v>2.1386303372</v>
      </c>
      <c r="P27" s="69">
        <f>[1]!b_stm07_is(P14,60,P13,1)/100000000</f>
        <v>8.8793554195000013</v>
      </c>
      <c r="Q27" s="69">
        <f>[1]!b_stm07_is(Q14,60,Q13,1)/100000000</f>
        <v>8.1108264699999992</v>
      </c>
      <c r="R27" s="69">
        <f>[1]!b_stm07_is(R14,60,R13,1)/100000000</f>
        <v>46.727308557299999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0.14174799999999999</v>
      </c>
      <c r="K28" s="124"/>
      <c r="L28" s="10">
        <f>[1]!s_fa_roe(L14,L13)%</f>
        <v>7.7287999999999996E-2</v>
      </c>
      <c r="M28" s="10">
        <f>[1]!s_fa_roe(M14,M13)%</f>
        <v>2.013E-3</v>
      </c>
      <c r="N28" s="10">
        <f>[1]!s_fa_roe(N14,N13)%</f>
        <v>0.13413</v>
      </c>
      <c r="O28" s="10">
        <f>[1]!s_fa_roe(O14,O13)%</f>
        <v>-1.4985999999999999E-2</v>
      </c>
      <c r="P28" s="10">
        <f>[1]!s_fa_roe(P14,P13)%</f>
        <v>1.5973000000000001E-2</v>
      </c>
      <c r="Q28" s="10">
        <f>[1]!s_fa_roe(Q14,Q13)%</f>
        <v>6.4715999999999996E-2</v>
      </c>
      <c r="R28" s="10">
        <f>[1]!s_fa_roe(R14,R13)%</f>
        <v>0.33412199999999997</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7.1226695945000005</v>
      </c>
      <c r="K29" s="124"/>
      <c r="L29" s="69">
        <f>[1]!b_stm07_cs(L14,39,L13,1)/100000000</f>
        <v>11.7834045467</v>
      </c>
      <c r="M29" s="69">
        <f>[1]!b_stm07_cs(M14,39,M13,1)/100000000</f>
        <v>12.407082473900001</v>
      </c>
      <c r="N29" s="69">
        <f>[1]!b_stm07_cs(N14,39,N13,1)/100000000</f>
        <v>18.427942378399997</v>
      </c>
      <c r="O29" s="69">
        <f>[1]!b_stm07_cs(O14,39,O13,1)/100000000</f>
        <v>13.760589836199999</v>
      </c>
      <c r="P29" s="69">
        <f>[1]!b_stm07_cs(P14,39,P13,1)/100000000</f>
        <v>1.4793305559000001</v>
      </c>
      <c r="Q29" s="69">
        <f>[1]!b_stm07_cs(Q14,39,Q13,1)/100000000</f>
        <v>11.025208279999999</v>
      </c>
      <c r="R29" s="69">
        <f>[1]!b_stm07_cs(R14,39,R13,1)/100000000</f>
        <v>18.7037609749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486000000</v>
      </c>
      <c r="K96" s="71"/>
      <c r="L96" s="71">
        <f>[1]!b_stm07_bs(L14,75,L13,1)</f>
        <v>7773824829.54</v>
      </c>
      <c r="M96" s="71">
        <f>[1]!b_stm07_bs(M14,75,M13,1)</f>
        <v>5276521849</v>
      </c>
      <c r="N96" s="71">
        <f>[1]!b_stm07_bs(N14,75,N13,1)</f>
        <v>11370246000</v>
      </c>
      <c r="O96" s="71">
        <f>[1]!b_stm07_bs(O14,75,O13,1)</f>
        <v>5804449049.96</v>
      </c>
      <c r="P96" s="71">
        <f>[1]!b_stm07_bs(P14,75,P13,1)</f>
        <v>9991793271.75</v>
      </c>
      <c r="Q96" s="71">
        <f>[1]!b_stm07_bs(Q14,75,Q13,1)</f>
        <v>2720000000</v>
      </c>
      <c r="R96" s="71">
        <f>[1]!b_stm07_bs(R14,75,R13,1)</f>
        <v>460661100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10164537.35</v>
      </c>
      <c r="K97" s="71"/>
      <c r="L97" s="71">
        <f>[1]!b_stm07_bs(L14,82,L13,1)</f>
        <v>419049728.61000001</v>
      </c>
      <c r="M97" s="71">
        <f>[1]!b_stm07_bs(M14,82,M13,1)</f>
        <v>54946861.280000001</v>
      </c>
      <c r="N97" s="71">
        <f>[1]!b_stm07_bs(N14,82,N13,1)</f>
        <v>502768572.58999997</v>
      </c>
      <c r="O97" s="71">
        <f>[1]!b_stm07_bs(O14,82,O13,1)</f>
        <v>81230159.890000001</v>
      </c>
      <c r="P97" s="71">
        <f>[1]!b_stm07_bs(P14,82,P13,1)</f>
        <v>145561788.65000001</v>
      </c>
      <c r="Q97" s="71">
        <f>[1]!b_stm07_bs(Q14,82,Q13,1)</f>
        <v>228305476</v>
      </c>
      <c r="R97" s="71">
        <f>[1]!b_stm07_bs(R14,82,R13,1)</f>
        <v>36093847.049999997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7500000</v>
      </c>
      <c r="K98" s="71"/>
      <c r="L98" s="71">
        <f>[1]!b_stm07_bs(L14,88,L13,1)</f>
        <v>2185378240.3099999</v>
      </c>
      <c r="M98" s="71">
        <f>[1]!b_stm07_bs(M14,88,M13,1)</f>
        <v>433381200</v>
      </c>
      <c r="N98" s="71">
        <f>[1]!b_stm07_bs(N14,88,N13,1)</f>
        <v>2500000000</v>
      </c>
      <c r="O98" s="71">
        <f>[1]!b_stm07_bs(O14,88,O13,1)</f>
        <v>937818700</v>
      </c>
      <c r="P98" s="71">
        <f>[1]!b_stm07_bs(P14,88,P13,1)</f>
        <v>439535469.01999998</v>
      </c>
      <c r="Q98" s="71">
        <f>[1]!b_stm07_bs(Q14,88,Q13,1)</f>
        <v>1181852856</v>
      </c>
      <c r="R98" s="71">
        <f>[1]!b_stm07_bs(R14,88,R13,1)</f>
        <v>998944278.63999999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17254200</v>
      </c>
      <c r="K100" s="71"/>
      <c r="L100" s="71">
        <f>[1]!b_stm07_bs(L14,94,L13,1)</f>
        <v>8355481593.3800001</v>
      </c>
      <c r="M100" s="71">
        <f>[1]!b_stm07_bs(M14,94,M13,1)</f>
        <v>2972515090.27</v>
      </c>
      <c r="N100" s="71">
        <f>[1]!b_stm07_bs(N14,94,N13,1)</f>
        <v>0</v>
      </c>
      <c r="O100" s="71">
        <f>[1]!b_stm07_bs(O14,94,O13,1)</f>
        <v>3039785090.27</v>
      </c>
      <c r="P100" s="71">
        <f>[1]!b_stm07_bs(P14,94,P13,1)</f>
        <v>3830112367.4299998</v>
      </c>
      <c r="Q100" s="71">
        <f>[1]!b_stm07_bs(Q14,94,Q13,1)</f>
        <v>208000000</v>
      </c>
      <c r="R100" s="71">
        <f>[1]!b_stm07_bs(R14,94,R13,1)</f>
        <v>700000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1093149216.21</v>
      </c>
      <c r="K101" s="71"/>
      <c r="L101" s="71">
        <f>[1]!b_stm07_bs(L14,95,L13,1)</f>
        <v>8798160176.2600002</v>
      </c>
      <c r="M101" s="71">
        <f>[1]!b_stm07_bs(M14,95,M13,1)</f>
        <v>1988943863.02</v>
      </c>
      <c r="N101" s="71">
        <f>[1]!b_stm07_bs(N14,95,N13,1)</f>
        <v>8306694177.5200005</v>
      </c>
      <c r="O101" s="71">
        <f>[1]!b_stm07_bs(O14,95,O13,1)</f>
        <v>2484818863.02</v>
      </c>
      <c r="P101" s="71">
        <f>[1]!b_stm07_bs(P14,95,P13,1)</f>
        <v>3694302000</v>
      </c>
      <c r="Q101" s="71">
        <f>[1]!b_stm07_bs(Q14,95,Q13,1)</f>
        <v>3288458807</v>
      </c>
      <c r="R101" s="71">
        <f>[1]!b_stm07_bs(R14,95,R13,1)</f>
        <v>1195250459.8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5843658660.4700003</v>
      </c>
      <c r="K103" s="71"/>
      <c r="L103" s="71">
        <f>[1]!b_stm07_bs(L14,141,L13,1)</f>
        <v>35600113004.529999</v>
      </c>
      <c r="M103" s="71">
        <f>[1]!b_stm07_bs(M14,141,M13,1)</f>
        <v>7875283483.1499996</v>
      </c>
      <c r="N103" s="71">
        <f>[1]!b_stm07_bs(N14,141,N13,1)</f>
        <v>32134974060.049999</v>
      </c>
      <c r="O103" s="71">
        <f>[1]!b_stm07_bs(O14,141,O13,1)</f>
        <v>7559873587.3699999</v>
      </c>
      <c r="P103" s="71">
        <f>[1]!b_stm07_bs(P14,141,P13,1)</f>
        <v>23190726187.09</v>
      </c>
      <c r="Q103" s="71">
        <f>[1]!b_stm07_bs(Q14,141,Q13,1)</f>
        <v>11982452105</v>
      </c>
      <c r="R103" s="71">
        <f>[1]!b_stm07_bs(R14,141,R13,1)</f>
        <v>13617850128.23</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d19041804.IB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0.37966900000000003</v>
      </c>
      <c r="C109" s="54" t="s">
        <v>36</v>
      </c>
      <c r="D109" s="72">
        <f>[1]!s_fa_current(A2,B2)</f>
        <v>2.0041000000000002</v>
      </c>
      <c r="E109" s="54" t="s">
        <v>41</v>
      </c>
      <c r="F109" s="73">
        <f>[1]!s_fa_salescashintoor(A2,B2)/100</f>
        <v>0.97619999999999996</v>
      </c>
      <c r="G109" s="54" t="s">
        <v>42</v>
      </c>
      <c r="H109" s="12">
        <f>S109/100</f>
        <v>0.72628899999999996</v>
      </c>
      <c r="I109" s="54"/>
      <c r="J109" s="16"/>
      <c r="K109" s="25"/>
      <c r="L109" s="34" t="s">
        <v>61</v>
      </c>
      <c r="M109" s="74">
        <f>[1]!s_fa_debttoassets(A2,B2)</f>
        <v>37.966900000000003</v>
      </c>
      <c r="N109" s="54" t="s">
        <v>36</v>
      </c>
      <c r="O109" s="35"/>
      <c r="P109" s="54" t="s">
        <v>41</v>
      </c>
      <c r="Q109" s="35"/>
      <c r="R109" s="54" t="s">
        <v>42</v>
      </c>
      <c r="S109" s="75">
        <f>[1]!s_fa_grossprofitmargin(A2,B2)</f>
        <v>72.628900000000002</v>
      </c>
    </row>
    <row r="110" spans="1:19" ht="15.75" customHeight="1" x14ac:dyDescent="0.25">
      <c r="A110" s="54" t="s">
        <v>62</v>
      </c>
      <c r="B110" s="12">
        <f>M110/100</f>
        <v>0.49487599999999998</v>
      </c>
      <c r="C110" s="54" t="s">
        <v>63</v>
      </c>
      <c r="D110" s="73">
        <f>[1]!s_fa_quick(A2,B2)</f>
        <v>1.6122000000000001</v>
      </c>
      <c r="E110" s="54" t="s">
        <v>64</v>
      </c>
      <c r="F110" s="72">
        <f>[1]!s_fa_arturn(A2,B2)</f>
        <v>7.3765000000000001</v>
      </c>
      <c r="G110" s="54" t="s">
        <v>65</v>
      </c>
      <c r="H110" s="12">
        <f>S110/100</f>
        <v>0.171293</v>
      </c>
      <c r="I110" s="54"/>
      <c r="J110" s="16"/>
      <c r="L110" s="54" t="s">
        <v>62</v>
      </c>
      <c r="M110" s="74">
        <f>[1]!s_fa_catoassets(A2,B2)</f>
        <v>49.4876</v>
      </c>
      <c r="N110" s="54" t="s">
        <v>63</v>
      </c>
      <c r="O110" s="35"/>
      <c r="P110" s="54" t="s">
        <v>64</v>
      </c>
      <c r="Q110" s="73"/>
      <c r="R110" s="54" t="s">
        <v>65</v>
      </c>
      <c r="S110" s="75">
        <f>[1]!s_fa_optogr(A2,B2)</f>
        <v>17.129300000000001</v>
      </c>
    </row>
    <row r="111" spans="1:19" ht="15" customHeight="1" x14ac:dyDescent="0.25">
      <c r="A111" s="54" t="s">
        <v>66</v>
      </c>
      <c r="B111" s="12">
        <f>M111/100</f>
        <v>0.65039400000000003</v>
      </c>
      <c r="C111" s="54" t="s">
        <v>39</v>
      </c>
      <c r="D111" s="73">
        <f>[1]!s_fa_ebitdatodebt(A2,B2)</f>
        <v>0.3266</v>
      </c>
      <c r="E111" s="54" t="s">
        <v>67</v>
      </c>
      <c r="F111" s="72">
        <f>[1]!s_fa_invturn(A2,B2)</f>
        <v>1.8391</v>
      </c>
      <c r="G111" s="54" t="s">
        <v>45</v>
      </c>
      <c r="H111" s="12">
        <f>S111/100</f>
        <v>0.14174799999999999</v>
      </c>
      <c r="I111" s="54"/>
      <c r="J111" s="16"/>
      <c r="L111" s="54" t="s">
        <v>66</v>
      </c>
      <c r="M111" s="74">
        <f>[1]!s_fa_currentdebttodebt(A2,B2)</f>
        <v>65.039400000000001</v>
      </c>
      <c r="N111" s="54" t="s">
        <v>39</v>
      </c>
      <c r="O111" s="35"/>
      <c r="P111" s="54" t="s">
        <v>67</v>
      </c>
      <c r="Q111" s="35"/>
      <c r="R111" s="54" t="s">
        <v>45</v>
      </c>
      <c r="S111" s="75">
        <f>[1]!s_fa_roe(A2,B2)</f>
        <v>14.174799999999999</v>
      </c>
    </row>
    <row r="112" spans="1:19" ht="14.25" customHeight="1" x14ac:dyDescent="0.25">
      <c r="A112" s="54" t="s">
        <v>38</v>
      </c>
      <c r="B112" s="76">
        <f>(M116+M117+M118+M119+M120+M121)/M123</f>
        <v>0.27620845900506136</v>
      </c>
      <c r="C112" s="54" t="s">
        <v>68</v>
      </c>
      <c r="D112" s="73">
        <f>[1]!s_fa_ebittointerest(A2,B2)</f>
        <v>18.141100000000002</v>
      </c>
      <c r="E112" s="54" t="s">
        <v>69</v>
      </c>
      <c r="F112" s="72">
        <f>[1]!s_fa_caturn(A2,B2)</f>
        <v>1.2463</v>
      </c>
      <c r="G112" s="54" t="s">
        <v>70</v>
      </c>
      <c r="H112" s="12">
        <f>S112/100</f>
        <v>0.105875</v>
      </c>
      <c r="I112" s="54"/>
      <c r="J112" s="16"/>
      <c r="L112" s="54" t="s">
        <v>38</v>
      </c>
      <c r="M112" s="77"/>
      <c r="N112" s="54" t="s">
        <v>68</v>
      </c>
      <c r="O112" s="35"/>
      <c r="P112" s="54" t="s">
        <v>69</v>
      </c>
      <c r="Q112" s="35"/>
      <c r="R112" s="54" t="s">
        <v>70</v>
      </c>
      <c r="S112" s="75">
        <f>[1]!s_fa_roa2(A2,B2)</f>
        <v>10.5875</v>
      </c>
    </row>
    <row r="113" spans="1:21" x14ac:dyDescent="0.25">
      <c r="A113" s="30"/>
      <c r="B113" s="31"/>
      <c r="C113" s="30"/>
      <c r="D113" s="32"/>
      <c r="E113" s="30" t="s">
        <v>71</v>
      </c>
      <c r="F113" s="78">
        <f>[1]!s_fa_dupont_faturnover(A2,B2)</f>
        <v>0.59099999999999997</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486000000</v>
      </c>
    </row>
    <row r="117" spans="1:21" ht="14.25" customHeight="1" x14ac:dyDescent="0.25">
      <c r="A117" s="54" t="s">
        <v>77</v>
      </c>
      <c r="B117" s="73">
        <f t="shared" ref="B117:B131" si="1">M127/100000000</f>
        <v>21.6794690081</v>
      </c>
      <c r="C117" s="54" t="s">
        <v>78</v>
      </c>
      <c r="D117" s="76">
        <f t="shared" ref="D117:D125" si="2">O127/100000000</f>
        <v>52.939667788400001</v>
      </c>
      <c r="E117" s="131" t="s">
        <v>79</v>
      </c>
      <c r="F117" s="124"/>
      <c r="G117" s="124"/>
      <c r="H117" s="132">
        <f t="shared" ref="H117:H131" si="3">S127/100000000</f>
        <v>51.681216262100001</v>
      </c>
      <c r="I117" s="124"/>
      <c r="J117" s="124"/>
      <c r="L117" s="17" t="s">
        <v>48</v>
      </c>
      <c r="M117" s="71">
        <f>[1]!b_stm07_bs(K107,82,L107,1)</f>
        <v>10164537.35</v>
      </c>
    </row>
    <row r="118" spans="1:21" ht="14.25" customHeight="1" x14ac:dyDescent="0.25">
      <c r="A118" s="54" t="s">
        <v>80</v>
      </c>
      <c r="B118" s="73">
        <f t="shared" si="1"/>
        <v>9.1119751577999999</v>
      </c>
      <c r="C118" s="54" t="s">
        <v>81</v>
      </c>
      <c r="D118" s="76">
        <f t="shared" si="2"/>
        <v>44.263101136800003</v>
      </c>
      <c r="E118" s="131" t="s">
        <v>82</v>
      </c>
      <c r="F118" s="124"/>
      <c r="G118" s="124"/>
      <c r="H118" s="132">
        <f t="shared" si="3"/>
        <v>0.92027540809999997</v>
      </c>
      <c r="I118" s="124"/>
      <c r="J118" s="124"/>
      <c r="L118" s="17" t="s">
        <v>49</v>
      </c>
      <c r="M118" s="71">
        <f>[1]!b_stm07_bs(K107,88,L107,1)</f>
        <v>7500000</v>
      </c>
    </row>
    <row r="119" spans="1:21" ht="14.25" customHeight="1" x14ac:dyDescent="0.25">
      <c r="A119" s="54" t="s">
        <v>83</v>
      </c>
      <c r="B119" s="73">
        <f t="shared" si="1"/>
        <v>0.45332432319999999</v>
      </c>
      <c r="C119" s="54" t="s">
        <v>84</v>
      </c>
      <c r="D119" s="76">
        <f t="shared" si="2"/>
        <v>14.4901601956</v>
      </c>
      <c r="E119" s="131" t="s">
        <v>85</v>
      </c>
      <c r="F119" s="124"/>
      <c r="G119" s="124"/>
      <c r="H119" s="133">
        <f t="shared" si="3"/>
        <v>52.820742244599998</v>
      </c>
      <c r="I119" s="124"/>
      <c r="J119" s="124"/>
      <c r="L119" s="17" t="s">
        <v>50</v>
      </c>
      <c r="M119" s="71">
        <f>[1]!b_stm07_bs(K107,147,L107,1)</f>
        <v>0</v>
      </c>
    </row>
    <row r="120" spans="1:21" ht="14.25" customHeight="1" x14ac:dyDescent="0.25">
      <c r="A120" s="54" t="s">
        <v>86</v>
      </c>
      <c r="B120" s="73">
        <f t="shared" si="1"/>
        <v>22.603399362899999</v>
      </c>
      <c r="C120" s="54" t="s">
        <v>87</v>
      </c>
      <c r="D120" s="76">
        <f t="shared" si="2"/>
        <v>22.836491219699997</v>
      </c>
      <c r="E120" s="131" t="s">
        <v>88</v>
      </c>
      <c r="F120" s="124"/>
      <c r="G120" s="124"/>
      <c r="H120" s="132">
        <f t="shared" si="3"/>
        <v>12.0044206695</v>
      </c>
      <c r="I120" s="124"/>
      <c r="J120" s="124"/>
      <c r="L120" s="17" t="s">
        <v>51</v>
      </c>
      <c r="M120" s="71">
        <f>[1]!b_stm07_bs(K107,94,L107,1)</f>
        <v>17254200</v>
      </c>
    </row>
    <row r="121" spans="1:21" ht="14.25" customHeight="1" x14ac:dyDescent="0.25">
      <c r="A121" s="54" t="s">
        <v>89</v>
      </c>
      <c r="B121" s="73">
        <f t="shared" si="1"/>
        <v>3.4480559911999999</v>
      </c>
      <c r="C121" s="54" t="s">
        <v>90</v>
      </c>
      <c r="D121" s="76">
        <f t="shared" si="2"/>
        <v>5.0656351051000001</v>
      </c>
      <c r="E121" s="131" t="s">
        <v>91</v>
      </c>
      <c r="F121" s="124"/>
      <c r="G121" s="124"/>
      <c r="H121" s="132">
        <f t="shared" si="3"/>
        <v>18.299687626600001</v>
      </c>
      <c r="I121" s="124"/>
      <c r="J121" s="124"/>
      <c r="L121" s="17" t="s">
        <v>52</v>
      </c>
      <c r="M121" s="71">
        <f>[1]!b_stm07_bs(K107,95,L107,1)</f>
        <v>1093149216.21</v>
      </c>
    </row>
    <row r="122" spans="1:21" ht="14.25" customHeight="1" x14ac:dyDescent="0.25">
      <c r="A122" s="54" t="s">
        <v>92</v>
      </c>
      <c r="B122" s="73">
        <f t="shared" si="1"/>
        <v>4.6498358902999994</v>
      </c>
      <c r="C122" s="54" t="s">
        <v>93</v>
      </c>
      <c r="D122" s="76">
        <f t="shared" si="2"/>
        <v>0.62958614830000004</v>
      </c>
      <c r="E122" s="131" t="s">
        <v>94</v>
      </c>
      <c r="F122" s="124"/>
      <c r="G122" s="124"/>
      <c r="H122" s="133">
        <f t="shared" si="3"/>
        <v>45.698072650100002</v>
      </c>
      <c r="I122" s="124"/>
      <c r="J122" s="124"/>
      <c r="L122" s="17"/>
      <c r="M122" s="17"/>
    </row>
    <row r="123" spans="1:21" ht="14.25" customHeight="1" x14ac:dyDescent="0.25">
      <c r="A123" s="54" t="s">
        <v>95</v>
      </c>
      <c r="B123" s="79">
        <f t="shared" si="1"/>
        <v>94.202212339500008</v>
      </c>
      <c r="C123" s="54" t="s">
        <v>96</v>
      </c>
      <c r="D123" s="76">
        <f t="shared" si="2"/>
        <v>9.0681906882000014</v>
      </c>
      <c r="E123" s="131" t="s">
        <v>97</v>
      </c>
      <c r="F123" s="124"/>
      <c r="G123" s="124"/>
      <c r="H123" s="133">
        <f t="shared" si="3"/>
        <v>7.1226695945000005</v>
      </c>
      <c r="I123" s="124"/>
      <c r="J123" s="124"/>
      <c r="L123" s="17" t="s">
        <v>53</v>
      </c>
      <c r="M123" s="71">
        <f>[1]!b_stm07_bs(K107,141,L107,1)</f>
        <v>5843658660.4700003</v>
      </c>
    </row>
    <row r="124" spans="1:21" ht="14.25" customHeight="1" x14ac:dyDescent="0.25">
      <c r="A124" s="54" t="s">
        <v>98</v>
      </c>
      <c r="B124" s="73">
        <f t="shared" si="1"/>
        <v>4.8600000000000003</v>
      </c>
      <c r="C124" s="54" t="s">
        <v>99</v>
      </c>
      <c r="D124" s="76">
        <f t="shared" si="2"/>
        <v>8.9611596160999998</v>
      </c>
      <c r="E124" s="131" t="s">
        <v>100</v>
      </c>
      <c r="F124" s="124"/>
      <c r="G124" s="124"/>
      <c r="H124" s="133">
        <f t="shared" si="3"/>
        <v>-5.3781913545000002</v>
      </c>
      <c r="I124" s="124"/>
      <c r="J124" s="124"/>
      <c r="L124" s="17"/>
      <c r="M124" s="17"/>
    </row>
    <row r="125" spans="1:21" ht="27" customHeight="1" x14ac:dyDescent="0.25">
      <c r="A125" s="54" t="s">
        <v>101</v>
      </c>
      <c r="B125" s="73">
        <f t="shared" si="1"/>
        <v>7.4999999999999997E-2</v>
      </c>
      <c r="C125" s="54" t="s">
        <v>43</v>
      </c>
      <c r="D125" s="76">
        <f t="shared" si="2"/>
        <v>7.2997484738000002</v>
      </c>
      <c r="E125" s="131" t="s">
        <v>102</v>
      </c>
      <c r="F125" s="124"/>
      <c r="G125" s="124"/>
      <c r="H125" s="132">
        <f t="shared" si="3"/>
        <v>10.83999596</v>
      </c>
      <c r="I125" s="124"/>
      <c r="J125" s="124"/>
      <c r="L125" s="17"/>
      <c r="M125" s="17"/>
    </row>
    <row r="126" spans="1:21" ht="16.5" customHeight="1" x14ac:dyDescent="0.25">
      <c r="A126" s="54" t="s">
        <v>103</v>
      </c>
      <c r="B126" s="73">
        <f t="shared" si="1"/>
        <v>0</v>
      </c>
      <c r="C126" s="54"/>
      <c r="D126" s="80"/>
      <c r="E126" s="131" t="s">
        <v>104</v>
      </c>
      <c r="F126" s="124"/>
      <c r="G126" s="124"/>
      <c r="H126" s="132">
        <f t="shared" si="3"/>
        <v>5.65</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0.172542</v>
      </c>
      <c r="C127" s="54"/>
      <c r="D127" s="80"/>
      <c r="E127" s="131" t="s">
        <v>106</v>
      </c>
      <c r="F127" s="124"/>
      <c r="G127" s="124"/>
      <c r="H127" s="132">
        <f t="shared" si="3"/>
        <v>0</v>
      </c>
      <c r="I127" s="124"/>
      <c r="J127" s="124"/>
      <c r="L127" s="54" t="s">
        <v>77</v>
      </c>
      <c r="M127" s="75">
        <f>[1]!b_stm07_bs(K107,9,L107,1)</f>
        <v>2167946900.8099999</v>
      </c>
      <c r="N127" s="54" t="s">
        <v>78</v>
      </c>
      <c r="O127" s="75">
        <f>[1]!b_stm07_is(K107,83,L107,1)</f>
        <v>5293966778.8400002</v>
      </c>
      <c r="P127" s="131" t="s">
        <v>79</v>
      </c>
      <c r="Q127" s="124"/>
      <c r="R127" s="124"/>
      <c r="S127" s="136">
        <f>[1]!b_stm07_cs(K107,9,L107,1)</f>
        <v>5168121626.21</v>
      </c>
      <c r="T127" s="135"/>
      <c r="U127" s="135"/>
    </row>
    <row r="128" spans="1:21" ht="14.25" customHeight="1" x14ac:dyDescent="0.25">
      <c r="A128" s="54" t="s">
        <v>107</v>
      </c>
      <c r="B128" s="73">
        <f t="shared" si="1"/>
        <v>10.9314921621</v>
      </c>
      <c r="C128" s="54"/>
      <c r="D128" s="80"/>
      <c r="E128" s="131" t="s">
        <v>108</v>
      </c>
      <c r="F128" s="124"/>
      <c r="G128" s="124"/>
      <c r="H128" s="133">
        <f t="shared" si="3"/>
        <v>16.5568452425</v>
      </c>
      <c r="I128" s="124"/>
      <c r="J128" s="124"/>
      <c r="L128" s="54" t="s">
        <v>80</v>
      </c>
      <c r="M128" s="75">
        <f>[1]!b_stm07_bs(K107,12,L107,1)</f>
        <v>911197515.77999997</v>
      </c>
      <c r="N128" s="54" t="s">
        <v>81</v>
      </c>
      <c r="O128" s="75">
        <f>[1]!b_stm07_is(K107,84,L107,1)</f>
        <v>4426310113.6800003</v>
      </c>
      <c r="P128" s="131" t="s">
        <v>82</v>
      </c>
      <c r="Q128" s="124"/>
      <c r="R128" s="124"/>
      <c r="S128" s="136">
        <f>[1]!b_stm07_cs(K107,11,L107,1)</f>
        <v>92027540.810000002</v>
      </c>
      <c r="T128" s="135"/>
      <c r="U128" s="135"/>
    </row>
    <row r="129" spans="1:21" ht="14.25" customHeight="1" x14ac:dyDescent="0.25">
      <c r="A129" s="54" t="s">
        <v>109</v>
      </c>
      <c r="B129" s="79">
        <f t="shared" si="1"/>
        <v>35.765625734799997</v>
      </c>
      <c r="C129" s="14"/>
      <c r="D129" s="13"/>
      <c r="E129" s="131" t="s">
        <v>110</v>
      </c>
      <c r="F129" s="124"/>
      <c r="G129" s="124"/>
      <c r="H129" s="132">
        <f t="shared" si="3"/>
        <v>9.5329999999999995</v>
      </c>
      <c r="I129" s="124"/>
      <c r="J129" s="124"/>
      <c r="L129" s="54" t="s">
        <v>83</v>
      </c>
      <c r="M129" s="75">
        <f>[1]!b_stm07_bs(K107,13,L107,1)</f>
        <v>45332432.32</v>
      </c>
      <c r="N129" s="54" t="s">
        <v>84</v>
      </c>
      <c r="O129" s="75">
        <f>[1]!b_stm07_is(K107,10,L107,1)</f>
        <v>1449016019.5599999</v>
      </c>
      <c r="P129" s="131" t="s">
        <v>85</v>
      </c>
      <c r="Q129" s="124"/>
      <c r="R129" s="124"/>
      <c r="S129" s="137">
        <f>[1]!b_stm07_cs(K107,25,L107,1)</f>
        <v>5282074224.46</v>
      </c>
      <c r="T129" s="135"/>
      <c r="U129" s="135"/>
    </row>
    <row r="130" spans="1:21" ht="14.25" customHeight="1" x14ac:dyDescent="0.25">
      <c r="A130" s="54" t="s">
        <v>111</v>
      </c>
      <c r="B130" s="79">
        <f t="shared" si="1"/>
        <v>58.436586604700004</v>
      </c>
      <c r="C130" s="14"/>
      <c r="D130" s="13"/>
      <c r="E130" s="131" t="s">
        <v>112</v>
      </c>
      <c r="F130" s="124"/>
      <c r="G130" s="124"/>
      <c r="H130" s="132">
        <f t="shared" si="3"/>
        <v>15.9214483837</v>
      </c>
      <c r="I130" s="124"/>
      <c r="J130" s="124"/>
      <c r="L130" s="54" t="s">
        <v>86</v>
      </c>
      <c r="M130" s="75">
        <f>[1]!b_stm07_bs(K107,31,L107,1)</f>
        <v>2260339936.29</v>
      </c>
      <c r="N130" s="54" t="s">
        <v>87</v>
      </c>
      <c r="O130" s="75">
        <f>[1]!b_stm07_is(K107,12,L107,1)</f>
        <v>2283649121.9699998</v>
      </c>
      <c r="P130" s="131" t="s">
        <v>88</v>
      </c>
      <c r="Q130" s="124"/>
      <c r="R130" s="124"/>
      <c r="S130" s="136">
        <f>[1]!b_stm07_cs(K107,26,L107,1)</f>
        <v>1200442066.95</v>
      </c>
      <c r="T130" s="135"/>
      <c r="U130" s="135"/>
    </row>
    <row r="131" spans="1:21" ht="14.25" customHeight="1" x14ac:dyDescent="0.25">
      <c r="A131" s="15" t="s">
        <v>113</v>
      </c>
      <c r="B131" s="79">
        <f t="shared" si="1"/>
        <v>94.202212339500008</v>
      </c>
      <c r="C131" s="14"/>
      <c r="D131" s="13"/>
      <c r="E131" s="131" t="s">
        <v>114</v>
      </c>
      <c r="F131" s="124"/>
      <c r="G131" s="124"/>
      <c r="H131" s="133">
        <f t="shared" si="3"/>
        <v>0.63539685880000008</v>
      </c>
      <c r="I131" s="124"/>
      <c r="J131" s="124"/>
      <c r="L131" s="54" t="s">
        <v>89</v>
      </c>
      <c r="M131" s="75">
        <f>[1]!b_stm07_bs(K107,33,L107,1)</f>
        <v>344805599.12</v>
      </c>
      <c r="N131" s="54" t="s">
        <v>90</v>
      </c>
      <c r="O131" s="75">
        <f>[1]!b_stm07_is(K107,13,L107,1)</f>
        <v>506563510.50999999</v>
      </c>
      <c r="P131" s="131" t="s">
        <v>91</v>
      </c>
      <c r="Q131" s="124"/>
      <c r="R131" s="124"/>
      <c r="S131" s="136">
        <f>[1]!b_stm07_cs(K107,29,L107,1)</f>
        <v>1829968762.6600001</v>
      </c>
      <c r="T131" s="135"/>
      <c r="U131" s="135"/>
    </row>
    <row r="132" spans="1:21" x14ac:dyDescent="0.25">
      <c r="L132" s="54" t="s">
        <v>92</v>
      </c>
      <c r="M132" s="75">
        <f>[1]!b_stm07_bs(K107,37,L107,1)</f>
        <v>464983589.02999997</v>
      </c>
      <c r="N132" s="54" t="s">
        <v>93</v>
      </c>
      <c r="O132" s="75">
        <f>[1]!b_stm07_is(K107,14,L107,1)</f>
        <v>62958614.829999998</v>
      </c>
      <c r="P132" s="131" t="s">
        <v>94</v>
      </c>
      <c r="Q132" s="124"/>
      <c r="R132" s="124"/>
      <c r="S132" s="137">
        <f>[1]!b_stm07_cs(K107,37,L107,1)</f>
        <v>4569807265.0100002</v>
      </c>
      <c r="T132" s="135"/>
      <c r="U132" s="135"/>
    </row>
    <row r="133" spans="1:21" x14ac:dyDescent="0.25">
      <c r="L133" s="54" t="s">
        <v>95</v>
      </c>
      <c r="M133" s="81">
        <f>[1]!b_stm07_bs(K107,74,L107,1)</f>
        <v>9420221233.9500008</v>
      </c>
      <c r="N133" s="54" t="s">
        <v>96</v>
      </c>
      <c r="O133" s="75">
        <f>[1]!b_stm07_is(K107,48,L107,1)</f>
        <v>906819068.82000005</v>
      </c>
      <c r="P133" s="131" t="s">
        <v>97</v>
      </c>
      <c r="Q133" s="124"/>
      <c r="R133" s="124"/>
      <c r="S133" s="137">
        <f>[1]!b_stm07_cs(K107,39,L107,1)</f>
        <v>712266959.45000005</v>
      </c>
      <c r="T133" s="135"/>
      <c r="U133" s="135"/>
    </row>
    <row r="134" spans="1:21" x14ac:dyDescent="0.25">
      <c r="L134" s="54" t="s">
        <v>98</v>
      </c>
      <c r="M134" s="75">
        <f>[1]!b_stm07_bs(K107,75,L107,1)</f>
        <v>486000000</v>
      </c>
      <c r="N134" s="54" t="s">
        <v>99</v>
      </c>
      <c r="O134" s="75">
        <f>[1]!b_stm07_is(K107,55,L107,1)</f>
        <v>896115961.61000001</v>
      </c>
      <c r="P134" s="131" t="s">
        <v>100</v>
      </c>
      <c r="Q134" s="124"/>
      <c r="R134" s="124"/>
      <c r="S134" s="137">
        <f>[1]!b_stm07_cs(K107,59,L107,1)</f>
        <v>-537819135.45000005</v>
      </c>
      <c r="T134" s="135"/>
      <c r="U134" s="135"/>
    </row>
    <row r="135" spans="1:21" ht="32.4" customHeight="1" x14ac:dyDescent="0.25">
      <c r="L135" s="54" t="s">
        <v>101</v>
      </c>
      <c r="M135" s="75">
        <f>[1]!b_stm07_bs(K107,88,L107,1)</f>
        <v>7500000</v>
      </c>
      <c r="N135" s="54" t="s">
        <v>43</v>
      </c>
      <c r="O135" s="75">
        <f>[1]!b_stm07_is(K107,60,L107,1)</f>
        <v>729974847.38</v>
      </c>
      <c r="P135" s="131" t="s">
        <v>102</v>
      </c>
      <c r="Q135" s="124"/>
      <c r="R135" s="124"/>
      <c r="S135" s="136">
        <f>[1]!b_stm07_cs(K107,60,L107,1)</f>
        <v>1083999596</v>
      </c>
      <c r="T135" s="135"/>
      <c r="U135" s="135"/>
    </row>
    <row r="136" spans="1:21" ht="21.6" customHeight="1" x14ac:dyDescent="0.25">
      <c r="L136" s="54" t="s">
        <v>103</v>
      </c>
      <c r="M136" s="75">
        <f>[1]!b_stm07_bs(K107,147,L107,1)</f>
        <v>0</v>
      </c>
      <c r="N136" s="54"/>
      <c r="O136" s="80"/>
      <c r="P136" s="131" t="s">
        <v>104</v>
      </c>
      <c r="Q136" s="124"/>
      <c r="R136" s="124"/>
      <c r="S136" s="136">
        <f>[1]!b_stm07_cs(K107,61,L107,1)</f>
        <v>565000000</v>
      </c>
      <c r="T136" s="135"/>
      <c r="U136" s="135"/>
    </row>
    <row r="137" spans="1:21" x14ac:dyDescent="0.25">
      <c r="L137" s="54" t="s">
        <v>105</v>
      </c>
      <c r="M137" s="75">
        <f>[1]!b_stm07_bs(K107,94,L107,1)</f>
        <v>17254200</v>
      </c>
      <c r="N137" s="54"/>
      <c r="O137" s="80"/>
      <c r="P137" s="131" t="s">
        <v>106</v>
      </c>
      <c r="Q137" s="124"/>
      <c r="R137" s="124"/>
      <c r="S137" s="136">
        <f>[1]!b_stm07_cs(K107,63,L107,1)</f>
        <v>0</v>
      </c>
      <c r="T137" s="135"/>
      <c r="U137" s="135"/>
    </row>
    <row r="138" spans="1:21" x14ac:dyDescent="0.25">
      <c r="L138" s="54" t="s">
        <v>107</v>
      </c>
      <c r="M138" s="75">
        <f>[1]!b_stm07_bs(K107,95,L107,1)</f>
        <v>1093149216.21</v>
      </c>
      <c r="N138" s="54"/>
      <c r="O138" s="80"/>
      <c r="P138" s="131" t="s">
        <v>108</v>
      </c>
      <c r="Q138" s="124"/>
      <c r="R138" s="124"/>
      <c r="S138" s="137">
        <f>[1]!b_stm07_cs(K107,68,L107,1)</f>
        <v>1655684524.25</v>
      </c>
      <c r="T138" s="135"/>
      <c r="U138" s="135"/>
    </row>
    <row r="139" spans="1:21" x14ac:dyDescent="0.25">
      <c r="L139" s="54" t="s">
        <v>109</v>
      </c>
      <c r="M139" s="81">
        <f>[1]!b_stm07_bs(K107,128,L107,1)</f>
        <v>3576562573.48</v>
      </c>
      <c r="N139" s="14"/>
      <c r="O139" s="13"/>
      <c r="P139" s="131" t="s">
        <v>110</v>
      </c>
      <c r="Q139" s="124"/>
      <c r="R139" s="124"/>
      <c r="S139" s="136">
        <f>[1]!b_stm07_cs(K107,69,L107,1)</f>
        <v>953300000</v>
      </c>
      <c r="T139" s="135"/>
      <c r="U139" s="135"/>
    </row>
    <row r="140" spans="1:21" ht="21.6" customHeight="1" x14ac:dyDescent="0.25">
      <c r="L140" s="54" t="s">
        <v>111</v>
      </c>
      <c r="M140" s="81">
        <f>[1]!b_stm07_bs(K107,141,L107,1)</f>
        <v>5843658660.4700003</v>
      </c>
      <c r="N140" s="14"/>
      <c r="O140" s="13"/>
      <c r="P140" s="131" t="s">
        <v>112</v>
      </c>
      <c r="Q140" s="124"/>
      <c r="R140" s="124"/>
      <c r="S140" s="136">
        <f>[1]!b_stm07_cs(K107,75,L107,1)</f>
        <v>1592144838.3699999</v>
      </c>
      <c r="T140" s="135"/>
      <c r="U140" s="135"/>
    </row>
    <row r="141" spans="1:21" ht="21.6" customHeight="1" x14ac:dyDescent="0.25">
      <c r="L141" s="15" t="s">
        <v>113</v>
      </c>
      <c r="M141" s="81">
        <f>[1]!b_stm07_bs(K107,145,L107,1)</f>
        <v>9420221233.9500008</v>
      </c>
      <c r="N141" s="14"/>
      <c r="O141" s="13"/>
      <c r="P141" s="131" t="s">
        <v>114</v>
      </c>
      <c r="Q141" s="124"/>
      <c r="R141" s="124"/>
      <c r="S141" s="137">
        <f>[1]!b_stm07_cs(K107,77,L107,1)</f>
        <v>63539685.880000003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198</v>
      </c>
      <c r="C2" s="120"/>
      <c r="D2" s="57" t="s">
        <v>3</v>
      </c>
      <c r="E2" s="119" t="s">
        <v>199</v>
      </c>
      <c r="F2" s="120"/>
      <c r="G2" s="120"/>
    </row>
    <row r="3" spans="1:12" ht="14.25" customHeight="1" x14ac:dyDescent="0.25">
      <c r="A3" s="57" t="s">
        <v>4</v>
      </c>
      <c r="B3" s="119" t="s">
        <v>200</v>
      </c>
      <c r="C3" s="120"/>
      <c r="D3" s="57" t="s">
        <v>5</v>
      </c>
      <c r="E3" s="119" t="s">
        <v>201</v>
      </c>
      <c r="F3" s="120"/>
      <c r="G3" s="120"/>
    </row>
    <row r="4" spans="1:12" ht="113.25" customHeight="1" x14ac:dyDescent="0.25">
      <c r="A4" s="57" t="s">
        <v>6</v>
      </c>
      <c r="B4" s="121" t="s">
        <v>202</v>
      </c>
      <c r="C4" s="120"/>
      <c r="D4" s="120"/>
      <c r="E4" s="120"/>
      <c r="F4" s="120"/>
      <c r="G4" s="120"/>
    </row>
    <row r="5" spans="1:12" ht="14.4" x14ac:dyDescent="0.25">
      <c r="A5" s="82" t="s">
        <v>115</v>
      </c>
      <c r="B5" s="140" t="s">
        <v>203</v>
      </c>
      <c r="C5" s="120"/>
      <c r="D5" s="120"/>
      <c r="E5" s="120"/>
      <c r="F5" s="141">
        <v>0.26520000457763671</v>
      </c>
      <c r="G5" s="120"/>
    </row>
    <row r="6" spans="1:12" ht="11.25" customHeight="1" x14ac:dyDescent="0.25">
      <c r="A6" s="82" t="s">
        <v>116</v>
      </c>
      <c r="B6" s="140" t="s">
        <v>204</v>
      </c>
      <c r="C6" s="120"/>
      <c r="D6" s="120"/>
      <c r="E6" s="120"/>
      <c r="F6" s="141">
        <v>8.8000001907348635E-2</v>
      </c>
      <c r="G6" s="120"/>
    </row>
    <row r="7" spans="1:12" ht="11.25" customHeight="1" x14ac:dyDescent="0.25">
      <c r="A7" s="82" t="s">
        <v>117</v>
      </c>
      <c r="B7" s="140" t="s">
        <v>205</v>
      </c>
      <c r="C7" s="120"/>
      <c r="D7" s="120"/>
      <c r="E7" s="120"/>
      <c r="F7" s="141">
        <v>4.5599999427795412E-2</v>
      </c>
      <c r="G7" s="120"/>
    </row>
    <row r="8" spans="1:12" ht="11.25" customHeight="1" x14ac:dyDescent="0.25">
      <c r="A8" s="82" t="s">
        <v>118</v>
      </c>
      <c r="B8" s="140" t="s">
        <v>206</v>
      </c>
      <c r="C8" s="120"/>
      <c r="D8" s="120"/>
      <c r="E8" s="120"/>
      <c r="F8" s="141">
        <v>4.3800001144409177E-2</v>
      </c>
      <c r="G8" s="120"/>
    </row>
    <row r="9" spans="1:12" ht="11.25" customHeight="1" x14ac:dyDescent="0.25">
      <c r="A9" s="82" t="s">
        <v>119</v>
      </c>
      <c r="B9" s="140" t="s">
        <v>207</v>
      </c>
      <c r="C9" s="120"/>
      <c r="D9" s="120"/>
      <c r="E9" s="120"/>
      <c r="F9" s="141">
        <v>4.1500000953674315E-2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5.09</v>
      </c>
      <c r="E13" s="64">
        <v>8.4931506849315067E-2</v>
      </c>
      <c r="F13" s="65">
        <v>0</v>
      </c>
      <c r="G13" s="64">
        <v>5</v>
      </c>
    </row>
    <row r="14" spans="1:12" ht="14.4" customHeight="1" x14ac:dyDescent="0.25">
      <c r="A14" t="s">
        <v>124</v>
      </c>
      <c r="B14" t="s">
        <v>125</v>
      </c>
      <c r="C14" t="s">
        <v>126</v>
      </c>
      <c r="D14" s="64">
        <v>3.17</v>
      </c>
      <c r="E14" s="83">
        <v>2.441095890410959</v>
      </c>
      <c r="F14" t="s">
        <v>25</v>
      </c>
      <c r="G14" s="64">
        <v>11</v>
      </c>
    </row>
    <row r="15" spans="1:12" ht="14.4" customHeight="1" x14ac:dyDescent="0.25">
      <c r="A15" t="s">
        <v>127</v>
      </c>
      <c r="B15" t="s">
        <v>128</v>
      </c>
      <c r="C15" t="s">
        <v>129</v>
      </c>
      <c r="D15" s="64">
        <v>5.3</v>
      </c>
      <c r="E15" s="83">
        <v>0</v>
      </c>
      <c r="F15" t="s">
        <v>25</v>
      </c>
      <c r="G15" s="64">
        <v>6</v>
      </c>
    </row>
    <row r="16" spans="1:12" ht="14.4" customHeight="1" x14ac:dyDescent="0.25">
      <c r="D16" s="64"/>
      <c r="E16" s="83"/>
      <c r="G16" s="64"/>
    </row>
    <row r="17" spans="1:7" ht="14.4" customHeight="1" x14ac:dyDescent="0.25">
      <c r="D17" s="64"/>
      <c r="E17" s="83"/>
      <c r="G17" s="64"/>
    </row>
    <row r="18" spans="1:7" ht="14.4" customHeight="1" x14ac:dyDescent="0.25">
      <c r="D18" s="64"/>
      <c r="E18" s="83"/>
      <c r="G18" s="64"/>
    </row>
    <row r="19" spans="1:7" ht="14.4" customHeight="1" x14ac:dyDescent="0.25">
      <c r="D19" s="64"/>
      <c r="E19" s="83"/>
      <c r="G19" s="64"/>
    </row>
    <row r="20" spans="1:7" ht="14.4" customHeight="1" x14ac:dyDescent="0.25">
      <c r="D20" s="64"/>
      <c r="E20" s="83"/>
      <c r="G20" s="64"/>
    </row>
    <row r="21" spans="1:7" ht="14.4" customHeight="1" x14ac:dyDescent="0.25">
      <c r="A21" s="143" t="s">
        <v>130</v>
      </c>
      <c r="B21" s="143"/>
      <c r="C21" s="143"/>
      <c r="D21" s="143"/>
      <c r="E21" s="83"/>
      <c r="G21" s="64"/>
    </row>
    <row r="22" spans="1:7" ht="14.4" customHeight="1" x14ac:dyDescent="0.25">
      <c r="A22" s="84" t="s">
        <v>131</v>
      </c>
      <c r="B22" s="84" t="s">
        <v>132</v>
      </c>
      <c r="C22" s="84" t="s">
        <v>133</v>
      </c>
      <c r="D22" s="85" t="s">
        <v>134</v>
      </c>
      <c r="E22" s="83"/>
      <c r="G22" s="64"/>
    </row>
    <row r="23" spans="1:7" ht="14.4" customHeight="1" x14ac:dyDescent="0.25">
      <c r="A23" t="s">
        <v>135</v>
      </c>
      <c r="B23" t="s">
        <v>25</v>
      </c>
      <c r="C23" t="s">
        <v>136</v>
      </c>
      <c r="D23" s="64" t="s">
        <v>137</v>
      </c>
      <c r="E23" s="83"/>
      <c r="G23" s="64"/>
    </row>
    <row r="24" spans="1:7" ht="14.4" customHeight="1" x14ac:dyDescent="0.25">
      <c r="A24" t="s">
        <v>138</v>
      </c>
      <c r="B24" t="s">
        <v>25</v>
      </c>
      <c r="C24" t="s">
        <v>136</v>
      </c>
      <c r="D24" s="64" t="s">
        <v>139</v>
      </c>
      <c r="E24" s="83"/>
      <c r="G24" s="64"/>
    </row>
    <row r="25" spans="1:7" ht="14.4" customHeight="1" x14ac:dyDescent="0.25">
      <c r="A25" t="s">
        <v>140</v>
      </c>
      <c r="B25" t="s">
        <v>25</v>
      </c>
      <c r="C25" t="s">
        <v>136</v>
      </c>
      <c r="D25" s="64" t="s">
        <v>137</v>
      </c>
      <c r="E25" s="83"/>
      <c r="G25" s="64"/>
    </row>
    <row r="26" spans="1:7" ht="14.4" customHeight="1" x14ac:dyDescent="0.25">
      <c r="A26" t="s">
        <v>141</v>
      </c>
      <c r="B26" t="s">
        <v>25</v>
      </c>
      <c r="C26" t="s">
        <v>136</v>
      </c>
      <c r="D26" s="64" t="s">
        <v>137</v>
      </c>
      <c r="E26" s="83"/>
      <c r="G26" s="64"/>
    </row>
    <row r="27" spans="1:7" ht="14.4" customHeight="1" x14ac:dyDescent="0.25">
      <c r="A27" t="s">
        <v>142</v>
      </c>
      <c r="B27" t="s">
        <v>143</v>
      </c>
      <c r="C27" t="s">
        <v>136</v>
      </c>
      <c r="D27" s="64" t="s">
        <v>137</v>
      </c>
      <c r="E27" s="83"/>
      <c r="G27" s="64"/>
    </row>
    <row r="28" spans="1:7" ht="14.4" customHeight="1" x14ac:dyDescent="0.25">
      <c r="A28" t="s">
        <v>144</v>
      </c>
      <c r="B28" t="s">
        <v>143</v>
      </c>
      <c r="C28" t="s">
        <v>136</v>
      </c>
      <c r="D28" s="64" t="s">
        <v>137</v>
      </c>
      <c r="E28" s="83"/>
      <c r="G28" s="64"/>
    </row>
    <row r="29" spans="1:7" ht="14.4" customHeight="1" x14ac:dyDescent="0.25">
      <c r="A29" t="s">
        <v>145</v>
      </c>
      <c r="B29" t="s">
        <v>143</v>
      </c>
      <c r="C29" t="s">
        <v>136</v>
      </c>
      <c r="D29" s="64" t="s">
        <v>137</v>
      </c>
      <c r="E29" s="83"/>
      <c r="G29" s="64"/>
    </row>
    <row r="30" spans="1:7" ht="14.4" customHeight="1" x14ac:dyDescent="0.25">
      <c r="A30" t="s">
        <v>146</v>
      </c>
      <c r="B30" t="s">
        <v>143</v>
      </c>
      <c r="C30" t="s">
        <v>136</v>
      </c>
      <c r="D30" s="64" t="s">
        <v>137</v>
      </c>
      <c r="E30" s="83"/>
      <c r="G30" s="64"/>
    </row>
    <row r="31" spans="1:7" ht="14.4" customHeight="1" x14ac:dyDescent="0.25">
      <c r="A31" t="s">
        <v>147</v>
      </c>
      <c r="B31" t="s">
        <v>143</v>
      </c>
      <c r="C31" t="s">
        <v>136</v>
      </c>
      <c r="D31" s="64" t="s">
        <v>137</v>
      </c>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148</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1:D2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0.37966900000000003</v>
      </c>
      <c r="C4" s="57" t="s">
        <v>36</v>
      </c>
      <c r="D4" s="87">
        <v>2.0041000000000002</v>
      </c>
      <c r="E4" s="57" t="s">
        <v>41</v>
      </c>
      <c r="F4" s="86">
        <v>0.97619999999999996</v>
      </c>
      <c r="G4" s="57" t="s">
        <v>42</v>
      </c>
      <c r="H4" s="86">
        <v>0.72628899999999996</v>
      </c>
      <c r="I4" s="57"/>
      <c r="J4" s="88"/>
    </row>
    <row r="5" spans="1:10" ht="15.75" customHeight="1" x14ac:dyDescent="0.25">
      <c r="A5" s="57" t="s">
        <v>62</v>
      </c>
      <c r="B5" s="86">
        <v>0.49487599999999998</v>
      </c>
      <c r="C5" s="57" t="s">
        <v>63</v>
      </c>
      <c r="D5" s="87">
        <v>1.6122000000000001</v>
      </c>
      <c r="E5" s="57" t="s">
        <v>64</v>
      </c>
      <c r="F5" s="87">
        <v>7.3765000000000001</v>
      </c>
      <c r="G5" s="57" t="s">
        <v>65</v>
      </c>
      <c r="H5" s="86">
        <v>0.171293</v>
      </c>
      <c r="I5" s="57"/>
      <c r="J5" s="88"/>
    </row>
    <row r="6" spans="1:10" ht="15" customHeight="1" x14ac:dyDescent="0.25">
      <c r="A6" s="57" t="s">
        <v>66</v>
      </c>
      <c r="B6" s="86">
        <v>0.65039400000000003</v>
      </c>
      <c r="C6" s="57" t="s">
        <v>39</v>
      </c>
      <c r="D6" s="89">
        <v>0.3266</v>
      </c>
      <c r="E6" s="57" t="s">
        <v>67</v>
      </c>
      <c r="F6" s="87">
        <v>1.8391</v>
      </c>
      <c r="G6" s="57" t="s">
        <v>45</v>
      </c>
      <c r="H6" s="86">
        <v>0.14174799999999999</v>
      </c>
      <c r="I6" s="57"/>
      <c r="J6" s="88"/>
    </row>
    <row r="7" spans="1:10" ht="14.25" customHeight="1" x14ac:dyDescent="0.25">
      <c r="A7" s="57" t="s">
        <v>38</v>
      </c>
      <c r="B7" s="89">
        <v>0.27620845900506136</v>
      </c>
      <c r="C7" s="57" t="s">
        <v>68</v>
      </c>
      <c r="D7" s="89">
        <v>18.141100000000002</v>
      </c>
      <c r="E7" s="57" t="s">
        <v>69</v>
      </c>
      <c r="F7" s="87">
        <v>1.2463</v>
      </c>
      <c r="G7" s="57" t="s">
        <v>70</v>
      </c>
      <c r="H7" s="86">
        <v>0.105875</v>
      </c>
      <c r="I7" s="57"/>
      <c r="J7" s="88"/>
    </row>
    <row r="8" spans="1:10" x14ac:dyDescent="0.25">
      <c r="A8" s="57"/>
      <c r="B8" s="90"/>
      <c r="C8" s="57"/>
      <c r="D8" s="91"/>
      <c r="E8" s="57" t="s">
        <v>71</v>
      </c>
      <c r="F8" s="87">
        <v>0.59099999999999997</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21.6794690081</v>
      </c>
      <c r="C12" s="57" t="s">
        <v>78</v>
      </c>
      <c r="D12" s="89">
        <v>52.939667788400001</v>
      </c>
      <c r="E12" s="147" t="s">
        <v>79</v>
      </c>
      <c r="F12" s="120"/>
      <c r="G12" s="120"/>
      <c r="H12" s="148">
        <v>51.681216262100001</v>
      </c>
      <c r="I12" s="120"/>
      <c r="J12" s="120"/>
    </row>
    <row r="13" spans="1:10" ht="14.25" customHeight="1" x14ac:dyDescent="0.25">
      <c r="A13" s="57" t="s">
        <v>80</v>
      </c>
      <c r="B13" s="92">
        <v>9.1119751577999999</v>
      </c>
      <c r="C13" s="57" t="s">
        <v>81</v>
      </c>
      <c r="D13" s="89">
        <v>44.263101136800003</v>
      </c>
      <c r="E13" s="147" t="s">
        <v>82</v>
      </c>
      <c r="F13" s="120"/>
      <c r="G13" s="120"/>
      <c r="H13" s="148">
        <v>0.92027540809999997</v>
      </c>
      <c r="I13" s="120"/>
      <c r="J13" s="120"/>
    </row>
    <row r="14" spans="1:10" ht="14.25" customHeight="1" x14ac:dyDescent="0.25">
      <c r="A14" s="57" t="s">
        <v>83</v>
      </c>
      <c r="B14" s="92">
        <v>0.45332432319999999</v>
      </c>
      <c r="C14" s="57" t="s">
        <v>84</v>
      </c>
      <c r="D14" s="89">
        <v>14.4901601956</v>
      </c>
      <c r="E14" s="147" t="s">
        <v>85</v>
      </c>
      <c r="F14" s="120"/>
      <c r="G14" s="120"/>
      <c r="H14" s="148">
        <v>52.820742244599998</v>
      </c>
      <c r="I14" s="120"/>
      <c r="J14" s="120"/>
    </row>
    <row r="15" spans="1:10" ht="14.25" customHeight="1" x14ac:dyDescent="0.25">
      <c r="A15" s="57" t="s">
        <v>86</v>
      </c>
      <c r="B15" s="92">
        <v>22.603399362899999</v>
      </c>
      <c r="C15" s="57" t="s">
        <v>87</v>
      </c>
      <c r="D15" s="89">
        <v>22.836491219699997</v>
      </c>
      <c r="E15" s="147" t="s">
        <v>88</v>
      </c>
      <c r="F15" s="120"/>
      <c r="G15" s="120"/>
      <c r="H15" s="148">
        <v>12.0044206695</v>
      </c>
      <c r="I15" s="120"/>
      <c r="J15" s="120"/>
    </row>
    <row r="16" spans="1:10" ht="14.25" customHeight="1" x14ac:dyDescent="0.25">
      <c r="A16" s="57" t="s">
        <v>89</v>
      </c>
      <c r="B16" s="92">
        <v>3.4480559911999999</v>
      </c>
      <c r="C16" s="57" t="s">
        <v>90</v>
      </c>
      <c r="D16" s="89">
        <v>5.0656351051000001</v>
      </c>
      <c r="E16" s="147" t="s">
        <v>91</v>
      </c>
      <c r="F16" s="120"/>
      <c r="G16" s="120"/>
      <c r="H16" s="148">
        <v>18.299687626600001</v>
      </c>
      <c r="I16" s="120"/>
      <c r="J16" s="120"/>
    </row>
    <row r="17" spans="1:10" ht="14.25" customHeight="1" x14ac:dyDescent="0.25">
      <c r="A17" s="57" t="s">
        <v>92</v>
      </c>
      <c r="B17" s="92">
        <v>4.6498358902999994</v>
      </c>
      <c r="C17" s="57" t="s">
        <v>93</v>
      </c>
      <c r="D17" s="89">
        <v>0.62958614830000004</v>
      </c>
      <c r="E17" s="147" t="s">
        <v>94</v>
      </c>
      <c r="F17" s="120"/>
      <c r="G17" s="120"/>
      <c r="H17" s="148">
        <v>45.698072650100002</v>
      </c>
      <c r="I17" s="120"/>
      <c r="J17" s="120"/>
    </row>
    <row r="18" spans="1:10" ht="14.25" customHeight="1" x14ac:dyDescent="0.25">
      <c r="A18" s="57" t="s">
        <v>95</v>
      </c>
      <c r="B18" s="92">
        <v>94.202212339500008</v>
      </c>
      <c r="C18" s="57" t="s">
        <v>96</v>
      </c>
      <c r="D18" s="89">
        <v>9.0681906882000014</v>
      </c>
      <c r="E18" s="147" t="s">
        <v>97</v>
      </c>
      <c r="F18" s="120"/>
      <c r="G18" s="120"/>
      <c r="H18" s="148">
        <v>7.1226695945000005</v>
      </c>
      <c r="I18" s="120"/>
      <c r="J18" s="120"/>
    </row>
    <row r="19" spans="1:10" ht="14.25" customHeight="1" x14ac:dyDescent="0.25">
      <c r="A19" s="57" t="s">
        <v>98</v>
      </c>
      <c r="B19" s="92">
        <v>4.8600000000000003</v>
      </c>
      <c r="C19" s="57" t="s">
        <v>99</v>
      </c>
      <c r="D19" s="89">
        <v>8.9611596160999998</v>
      </c>
      <c r="E19" s="147" t="s">
        <v>100</v>
      </c>
      <c r="F19" s="120"/>
      <c r="G19" s="120"/>
      <c r="H19" s="148">
        <v>-5.3781913545000002</v>
      </c>
      <c r="I19" s="120"/>
      <c r="J19" s="120"/>
    </row>
    <row r="20" spans="1:10" ht="27" customHeight="1" x14ac:dyDescent="0.25">
      <c r="A20" s="57" t="s">
        <v>101</v>
      </c>
      <c r="B20" s="92">
        <v>7.4999999999999997E-2</v>
      </c>
      <c r="C20" s="57" t="s">
        <v>43</v>
      </c>
      <c r="D20" s="89">
        <v>7.2997484738000002</v>
      </c>
      <c r="E20" s="147" t="s">
        <v>102</v>
      </c>
      <c r="F20" s="120"/>
      <c r="G20" s="120"/>
      <c r="H20" s="148">
        <v>10.83999596</v>
      </c>
      <c r="I20" s="120"/>
      <c r="J20" s="120"/>
    </row>
    <row r="21" spans="1:10" ht="16.5" customHeight="1" x14ac:dyDescent="0.25">
      <c r="A21" s="57" t="s">
        <v>103</v>
      </c>
      <c r="B21" s="92">
        <v>0</v>
      </c>
      <c r="C21" s="57"/>
      <c r="D21" s="93"/>
      <c r="E21" s="147" t="s">
        <v>104</v>
      </c>
      <c r="F21" s="120"/>
      <c r="G21" s="120"/>
      <c r="H21" s="148">
        <v>5.65</v>
      </c>
      <c r="I21" s="120"/>
      <c r="J21" s="120"/>
    </row>
    <row r="22" spans="1:10" ht="14.25" customHeight="1" x14ac:dyDescent="0.25">
      <c r="A22" s="57" t="s">
        <v>105</v>
      </c>
      <c r="B22" s="92">
        <v>0.172542</v>
      </c>
      <c r="C22" s="57"/>
      <c r="D22" s="93"/>
      <c r="E22" s="147" t="s">
        <v>106</v>
      </c>
      <c r="F22" s="120"/>
      <c r="G22" s="120"/>
      <c r="H22" s="148">
        <v>0</v>
      </c>
      <c r="I22" s="120"/>
      <c r="J22" s="120"/>
    </row>
    <row r="23" spans="1:10" ht="14.25" customHeight="1" x14ac:dyDescent="0.25">
      <c r="A23" s="57" t="s">
        <v>107</v>
      </c>
      <c r="B23" s="92">
        <v>10.9314921621</v>
      </c>
      <c r="C23" s="57"/>
      <c r="D23" s="93"/>
      <c r="E23" s="147" t="s">
        <v>108</v>
      </c>
      <c r="F23" s="120"/>
      <c r="G23" s="120"/>
      <c r="H23" s="148">
        <v>16.5568452425</v>
      </c>
      <c r="I23" s="120"/>
      <c r="J23" s="120"/>
    </row>
    <row r="24" spans="1:10" ht="14.25" customHeight="1" x14ac:dyDescent="0.25">
      <c r="A24" s="57" t="s">
        <v>109</v>
      </c>
      <c r="B24" s="92">
        <v>35.765625734799997</v>
      </c>
      <c r="C24" s="94"/>
      <c r="D24" s="91"/>
      <c r="E24" s="147" t="s">
        <v>110</v>
      </c>
      <c r="F24" s="120"/>
      <c r="G24" s="120"/>
      <c r="H24" s="148">
        <v>9.5329999999999995</v>
      </c>
      <c r="I24" s="120"/>
      <c r="J24" s="120"/>
    </row>
    <row r="25" spans="1:10" ht="14.25" customHeight="1" x14ac:dyDescent="0.25">
      <c r="A25" s="57" t="s">
        <v>111</v>
      </c>
      <c r="B25" s="92">
        <v>58.436586604700004</v>
      </c>
      <c r="C25" s="94"/>
      <c r="D25" s="91"/>
      <c r="E25" s="147" t="s">
        <v>112</v>
      </c>
      <c r="F25" s="120"/>
      <c r="G25" s="120"/>
      <c r="H25" s="148">
        <v>15.9214483837</v>
      </c>
      <c r="I25" s="120"/>
      <c r="J25" s="120"/>
    </row>
    <row r="26" spans="1:10" ht="14.25" customHeight="1" x14ac:dyDescent="0.25">
      <c r="A26" s="95" t="s">
        <v>113</v>
      </c>
      <c r="B26" s="92">
        <v>94.202212339500008</v>
      </c>
      <c r="C26" s="94"/>
      <c r="D26" s="91"/>
      <c r="E26" s="147" t="s">
        <v>114</v>
      </c>
      <c r="F26" s="120"/>
      <c r="G26" s="120"/>
      <c r="H26" s="148">
        <v>0.63539685880000008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149</v>
      </c>
      <c r="B1" s="124"/>
      <c r="C1" s="124"/>
      <c r="D1" s="124"/>
      <c r="E1" s="124"/>
      <c r="F1" s="124"/>
      <c r="G1" s="124"/>
      <c r="H1" s="124"/>
      <c r="I1" s="124"/>
    </row>
    <row r="2" spans="1:10" ht="46.5" customHeight="1" x14ac:dyDescent="0.25">
      <c r="A2" s="54" t="s">
        <v>22</v>
      </c>
      <c r="B2" s="43" t="s">
        <v>198</v>
      </c>
      <c r="C2" s="43" t="s">
        <v>150</v>
      </c>
      <c r="D2" s="43" t="s">
        <v>208</v>
      </c>
      <c r="E2" s="43" t="s">
        <v>209</v>
      </c>
      <c r="F2" s="43" t="s">
        <v>165</v>
      </c>
      <c r="G2" s="43" t="s">
        <v>210</v>
      </c>
      <c r="H2" s="43" t="s">
        <v>211</v>
      </c>
      <c r="I2" s="43" t="s">
        <v>158</v>
      </c>
      <c r="J2" s="43" t="s">
        <v>212</v>
      </c>
    </row>
    <row r="3" spans="1:10" x14ac:dyDescent="0.25">
      <c r="A3" s="54" t="s">
        <v>24</v>
      </c>
      <c r="B3" s="97" t="s">
        <v>25</v>
      </c>
      <c r="C3" s="98" t="s">
        <v>151</v>
      </c>
      <c r="D3" s="97" t="s">
        <v>25</v>
      </c>
      <c r="E3" s="97" t="s">
        <v>25</v>
      </c>
      <c r="F3" s="97" t="s">
        <v>25</v>
      </c>
      <c r="G3" s="97" t="s">
        <v>25</v>
      </c>
      <c r="H3" s="97" t="s">
        <v>25</v>
      </c>
      <c r="I3" s="97" t="s">
        <v>25</v>
      </c>
      <c r="J3" s="97" t="s">
        <v>25</v>
      </c>
    </row>
    <row r="4" spans="1:10" s="7" customFormat="1" x14ac:dyDescent="0.25">
      <c r="A4" s="9" t="s">
        <v>3</v>
      </c>
      <c r="B4" s="99" t="s">
        <v>199</v>
      </c>
      <c r="C4" s="98" t="s">
        <v>151</v>
      </c>
      <c r="D4" s="99" t="s">
        <v>199</v>
      </c>
      <c r="E4" s="99" t="s">
        <v>213</v>
      </c>
      <c r="F4" s="99" t="s">
        <v>199</v>
      </c>
      <c r="G4" s="99" t="s">
        <v>213</v>
      </c>
      <c r="H4" s="99" t="s">
        <v>213</v>
      </c>
      <c r="I4" s="99" t="s">
        <v>199</v>
      </c>
      <c r="J4" s="99" t="s">
        <v>199</v>
      </c>
    </row>
    <row r="5" spans="1:10" s="7" customFormat="1" x14ac:dyDescent="0.25">
      <c r="A5" s="9" t="s">
        <v>29</v>
      </c>
      <c r="B5" s="100" t="s">
        <v>30</v>
      </c>
      <c r="C5" s="98" t="s">
        <v>151</v>
      </c>
      <c r="D5" s="100" t="s">
        <v>30</v>
      </c>
      <c r="E5" s="100" t="s">
        <v>30</v>
      </c>
      <c r="F5" s="100" t="s">
        <v>30</v>
      </c>
      <c r="G5" s="100" t="s">
        <v>30</v>
      </c>
      <c r="H5" s="100" t="s">
        <v>30</v>
      </c>
      <c r="I5" s="100" t="s">
        <v>30</v>
      </c>
      <c r="J5" s="100" t="s">
        <v>30</v>
      </c>
    </row>
    <row r="6" spans="1:10" x14ac:dyDescent="0.25">
      <c r="A6" s="54" t="s">
        <v>32</v>
      </c>
      <c r="B6" s="101">
        <v>94.202212339500008</v>
      </c>
      <c r="C6" s="98">
        <v>420.08596569474281</v>
      </c>
      <c r="D6" s="101">
        <v>789.67711506979992</v>
      </c>
      <c r="E6" s="101">
        <v>216.36418678909999</v>
      </c>
      <c r="F6" s="101">
        <v>687.22020630609995</v>
      </c>
      <c r="G6" s="101">
        <v>227.87367368860001</v>
      </c>
      <c r="H6" s="101">
        <v>517.46911444339992</v>
      </c>
      <c r="I6" s="101">
        <v>279.88160462000002</v>
      </c>
      <c r="J6" s="101">
        <v>222.11585894619998</v>
      </c>
    </row>
    <row r="7" spans="1:10" x14ac:dyDescent="0.25">
      <c r="A7" s="54" t="s">
        <v>34</v>
      </c>
      <c r="B7" s="44">
        <v>0.37966900000000003</v>
      </c>
      <c r="C7" s="98">
        <v>0.55663614285714291</v>
      </c>
      <c r="D7" s="44">
        <v>0.54918100000000003</v>
      </c>
      <c r="E7" s="44">
        <v>0.63601700000000005</v>
      </c>
      <c r="F7" s="44">
        <v>0.53239199999999998</v>
      </c>
      <c r="G7" s="44">
        <v>0.66824299999999992</v>
      </c>
      <c r="H7" s="44">
        <v>0.55184299999999997</v>
      </c>
      <c r="I7" s="44">
        <v>0.57187399999999999</v>
      </c>
      <c r="J7" s="44">
        <v>0.386903</v>
      </c>
    </row>
    <row r="8" spans="1:10" x14ac:dyDescent="0.25">
      <c r="A8" s="54" t="s">
        <v>36</v>
      </c>
      <c r="B8" s="101">
        <v>2.0041000000000002</v>
      </c>
      <c r="C8" s="98">
        <v>1.360557142857143</v>
      </c>
      <c r="D8" s="101">
        <v>1.35</v>
      </c>
      <c r="E8" s="101">
        <v>0.85929999999999995</v>
      </c>
      <c r="F8" s="101">
        <v>2.2056</v>
      </c>
      <c r="G8" s="101">
        <v>0.80010000000000003</v>
      </c>
      <c r="H8" s="101">
        <v>1.2655000000000001</v>
      </c>
      <c r="I8" s="101">
        <v>0.97699999999999998</v>
      </c>
      <c r="J8" s="101">
        <v>2.0663999999999998</v>
      </c>
    </row>
    <row r="9" spans="1:10" x14ac:dyDescent="0.25">
      <c r="A9" s="54" t="s">
        <v>38</v>
      </c>
      <c r="B9" s="97">
        <v>0.27620845900506136</v>
      </c>
      <c r="C9" s="98">
        <v>0.86988632668878885</v>
      </c>
      <c r="D9" s="97">
        <v>0.77336537006488304</v>
      </c>
      <c r="E9" s="97">
        <v>1.3620219369271049</v>
      </c>
      <c r="F9" s="97">
        <v>0.70576402855433684</v>
      </c>
      <c r="G9" s="97">
        <v>1.6333741193463229</v>
      </c>
      <c r="H9" s="97">
        <v>0.78054066745554429</v>
      </c>
      <c r="I9" s="97">
        <v>0.63648217177664235</v>
      </c>
      <c r="J9" s="97">
        <v>0.19765599269668649</v>
      </c>
    </row>
    <row r="10" spans="1:10" ht="21.6" customHeight="1" x14ac:dyDescent="0.25">
      <c r="A10" s="54" t="s">
        <v>39</v>
      </c>
      <c r="B10" s="101">
        <v>0.3266</v>
      </c>
      <c r="C10" s="98">
        <v>0.21114285714285713</v>
      </c>
      <c r="D10" s="101">
        <v>0.1232</v>
      </c>
      <c r="E10" s="101">
        <v>9.5000000000000001E-2</v>
      </c>
      <c r="F10" s="101">
        <v>0.17130000000000001</v>
      </c>
      <c r="G10" s="101">
        <v>9.1800000000000007E-2</v>
      </c>
      <c r="H10" s="101">
        <v>8.2299999999999998E-2</v>
      </c>
      <c r="I10" s="101">
        <v>0.15340000000000001</v>
      </c>
      <c r="J10" s="101">
        <v>0.76100000000000001</v>
      </c>
    </row>
    <row r="11" spans="1:10" x14ac:dyDescent="0.25">
      <c r="A11" s="54" t="s">
        <v>40</v>
      </c>
      <c r="B11" s="101">
        <v>52.939667788400001</v>
      </c>
      <c r="C11" s="98">
        <v>162.38856344102854</v>
      </c>
      <c r="D11" s="101">
        <v>232.11105445619998</v>
      </c>
      <c r="E11" s="101">
        <v>105.7152672316</v>
      </c>
      <c r="F11" s="101">
        <v>264.76970977569999</v>
      </c>
      <c r="G11" s="101">
        <v>108.63452218739999</v>
      </c>
      <c r="H11" s="101">
        <v>203.3473201482</v>
      </c>
      <c r="I11" s="101">
        <v>114.34948841000001</v>
      </c>
      <c r="J11" s="101">
        <v>107.79258187809999</v>
      </c>
    </row>
    <row r="12" spans="1:10" s="7" customFormat="1" x14ac:dyDescent="0.25">
      <c r="A12" s="9" t="s">
        <v>41</v>
      </c>
      <c r="B12" s="45">
        <v>0.97619999999999996</v>
      </c>
      <c r="C12" s="98">
        <v>1.0271000000000001</v>
      </c>
      <c r="D12" s="45">
        <v>1.0928</v>
      </c>
      <c r="E12" s="45">
        <v>0.9788</v>
      </c>
      <c r="F12" s="45">
        <v>1.0865</v>
      </c>
      <c r="G12" s="45">
        <v>0.98540000000000005</v>
      </c>
      <c r="H12" s="45">
        <v>0.94269999999999998</v>
      </c>
      <c r="I12" s="45">
        <v>1.0561</v>
      </c>
      <c r="J12" s="45">
        <v>1.0474000000000001</v>
      </c>
    </row>
    <row r="13" spans="1:10" s="7" customFormat="1" x14ac:dyDescent="0.25">
      <c r="A13" s="9" t="s">
        <v>42</v>
      </c>
      <c r="B13" s="45">
        <v>0.72628899999999996</v>
      </c>
      <c r="C13" s="98">
        <v>0.38183271428571425</v>
      </c>
      <c r="D13" s="45">
        <v>0.34087899999999999</v>
      </c>
      <c r="E13" s="45">
        <v>0.31521500000000002</v>
      </c>
      <c r="F13" s="45">
        <v>0.30316199999999999</v>
      </c>
      <c r="G13" s="45">
        <v>0.31289699999999998</v>
      </c>
      <c r="H13" s="45">
        <v>0.25941999999999998</v>
      </c>
      <c r="I13" s="45">
        <v>0.51309199999999999</v>
      </c>
      <c r="J13" s="45">
        <v>0.62816400000000006</v>
      </c>
    </row>
    <row r="14" spans="1:10" s="7" customFormat="1" x14ac:dyDescent="0.25">
      <c r="A14" s="9" t="s">
        <v>43</v>
      </c>
      <c r="B14" s="102">
        <v>7.2997484738000002</v>
      </c>
      <c r="C14" s="98">
        <v>19.442912504057144</v>
      </c>
      <c r="D14" s="102">
        <v>26.982142140100002</v>
      </c>
      <c r="E14" s="102">
        <v>2.3156622324999998</v>
      </c>
      <c r="F14" s="102">
        <v>40.946462371799996</v>
      </c>
      <c r="G14" s="102">
        <v>2.1386303372</v>
      </c>
      <c r="H14" s="102">
        <v>8.8793554195000013</v>
      </c>
      <c r="I14" s="102">
        <v>8.1108264699999992</v>
      </c>
      <c r="J14" s="102">
        <v>46.727308557299999</v>
      </c>
    </row>
    <row r="15" spans="1:10" x14ac:dyDescent="0.25">
      <c r="A15" s="54" t="s">
        <v>45</v>
      </c>
      <c r="B15" s="44">
        <v>0.14174799999999999</v>
      </c>
      <c r="C15" s="98">
        <v>8.7608000000000005E-2</v>
      </c>
      <c r="D15" s="44">
        <v>7.7287999999999996E-2</v>
      </c>
      <c r="E15" s="44">
        <v>2.013E-3</v>
      </c>
      <c r="F15" s="44">
        <v>0.13413</v>
      </c>
      <c r="G15" s="44">
        <v>-1.4985999999999999E-2</v>
      </c>
      <c r="H15" s="44">
        <v>1.5973000000000001E-2</v>
      </c>
      <c r="I15" s="44">
        <v>6.4715999999999996E-2</v>
      </c>
      <c r="J15" s="44">
        <v>0.33412199999999997</v>
      </c>
    </row>
    <row r="16" spans="1:10" s="7" customFormat="1" ht="25.8" customHeight="1" x14ac:dyDescent="0.25">
      <c r="A16" s="9" t="s">
        <v>46</v>
      </c>
      <c r="B16" s="102">
        <v>7.1226695945000005</v>
      </c>
      <c r="C16" s="98">
        <v>12.512474149428572</v>
      </c>
      <c r="D16" s="102">
        <v>11.7834045467</v>
      </c>
      <c r="E16" s="102">
        <v>12.407082473900001</v>
      </c>
      <c r="F16" s="102">
        <v>18.427942378399997</v>
      </c>
      <c r="G16" s="102">
        <v>13.760589836199999</v>
      </c>
      <c r="H16" s="102">
        <v>1.4793305559000001</v>
      </c>
      <c r="I16" s="102">
        <v>11.025208279999999</v>
      </c>
      <c r="J16" s="102">
        <v>18.7037609749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152</v>
      </c>
      <c r="B1" s="124"/>
      <c r="C1" s="124"/>
      <c r="D1" s="124"/>
      <c r="E1" s="124"/>
      <c r="F1" s="124"/>
    </row>
    <row r="2" spans="1:6" x14ac:dyDescent="0.25">
      <c r="A2" s="51" t="s">
        <v>153</v>
      </c>
      <c r="B2" s="50" t="s">
        <v>154</v>
      </c>
      <c r="C2" s="50" t="s">
        <v>155</v>
      </c>
      <c r="D2" s="50" t="s">
        <v>156</v>
      </c>
      <c r="E2" s="50" t="s">
        <v>134</v>
      </c>
      <c r="F2" s="50" t="s">
        <v>157</v>
      </c>
    </row>
    <row r="3" spans="1:6" ht="48" customHeight="1" x14ac:dyDescent="0.25">
      <c r="A3" s="104">
        <v>43304</v>
      </c>
      <c r="B3" s="52" t="s">
        <v>158</v>
      </c>
      <c r="C3" s="105"/>
      <c r="D3" s="105" t="s">
        <v>159</v>
      </c>
      <c r="E3" s="52" t="s">
        <v>160</v>
      </c>
      <c r="F3" s="105" t="s">
        <v>161</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162</v>
      </c>
      <c r="B19" s="143"/>
      <c r="C19" s="143"/>
      <c r="D19" s="143"/>
      <c r="E19" s="143"/>
      <c r="F19" s="143"/>
    </row>
    <row r="20" spans="1:6" x14ac:dyDescent="0.25">
      <c r="A20" s="84" t="s">
        <v>153</v>
      </c>
      <c r="B20" s="84" t="s">
        <v>154</v>
      </c>
      <c r="C20" s="84" t="s">
        <v>163</v>
      </c>
      <c r="D20" s="84" t="s">
        <v>164</v>
      </c>
      <c r="E20" s="84" t="s">
        <v>134</v>
      </c>
      <c r="F20" s="84" t="s">
        <v>157</v>
      </c>
    </row>
    <row r="21" spans="1:6" x14ac:dyDescent="0.25">
      <c r="A21" s="107">
        <v>43508</v>
      </c>
      <c r="B21" s="58" t="s">
        <v>165</v>
      </c>
      <c r="C21" s="108" t="s">
        <v>166</v>
      </c>
      <c r="D21" s="108"/>
      <c r="E21" s="58" t="s">
        <v>167</v>
      </c>
      <c r="F21" s="108" t="s">
        <v>168</v>
      </c>
    </row>
    <row r="22" spans="1:6" x14ac:dyDescent="0.25">
      <c r="A22" s="107">
        <v>43368</v>
      </c>
      <c r="B22" s="58" t="s">
        <v>169</v>
      </c>
      <c r="C22" s="108" t="s">
        <v>170</v>
      </c>
      <c r="D22" s="108"/>
      <c r="E22" s="58" t="s">
        <v>171</v>
      </c>
      <c r="F22" s="108" t="s">
        <v>172</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173</v>
      </c>
      <c r="B1" s="124"/>
      <c r="C1" s="124"/>
      <c r="D1" s="124"/>
      <c r="E1" s="124"/>
      <c r="F1" s="124"/>
      <c r="G1" s="124"/>
      <c r="H1" s="124"/>
      <c r="I1" s="124"/>
      <c r="J1" s="124"/>
      <c r="K1" s="124"/>
      <c r="L1" s="124"/>
      <c r="M1" s="124"/>
      <c r="N1" s="124"/>
    </row>
    <row r="2" spans="1:18" s="1" customFormat="1" ht="25.5" customHeight="1" x14ac:dyDescent="0.25">
      <c r="A2" s="55" t="s">
        <v>174</v>
      </c>
      <c r="B2" s="55" t="s">
        <v>175</v>
      </c>
      <c r="C2" s="55" t="s">
        <v>176</v>
      </c>
      <c r="D2" s="55" t="s">
        <v>177</v>
      </c>
      <c r="E2" s="55" t="s">
        <v>178</v>
      </c>
      <c r="F2" s="55" t="s">
        <v>179</v>
      </c>
      <c r="G2" s="55" t="s">
        <v>180</v>
      </c>
      <c r="H2" s="55" t="s">
        <v>16</v>
      </c>
      <c r="I2" s="55" t="s">
        <v>181</v>
      </c>
      <c r="J2" s="55" t="s">
        <v>182</v>
      </c>
      <c r="K2" s="55" t="s">
        <v>183</v>
      </c>
      <c r="L2" s="55" t="s">
        <v>184</v>
      </c>
      <c r="M2" s="55" t="s">
        <v>19</v>
      </c>
      <c r="N2" s="55" t="s">
        <v>185</v>
      </c>
      <c r="O2" s="3"/>
      <c r="P2" s="110" t="str">
        <f ca="1">Q2</f>
        <v>2019-04-17</v>
      </c>
      <c r="Q2" s="1" t="str">
        <f ca="1">[1]!td(R2-1)</f>
        <v>2019-04-17</v>
      </c>
      <c r="R2" s="3">
        <f ca="1">TODAY()</f>
        <v>43573</v>
      </c>
    </row>
    <row r="3" spans="1:18" ht="15.75" customHeight="1" x14ac:dyDescent="0.25">
      <c r="A3" s="111" t="str">
        <f>[1]!b_info_name(L3)</f>
        <v>19康恩贝SCP001</v>
      </c>
      <c r="B3" s="2" t="str">
        <f>[1]!b_issue_firstissue(L3)</f>
        <v>2019-04-19</v>
      </c>
      <c r="C3" s="111">
        <f>[1]!b_info_term(L3)</f>
        <v>0.73970000000000002</v>
      </c>
      <c r="D3" s="112" t="str">
        <f>[1]!issuerrating(L3)</f>
        <v>AA+</v>
      </c>
      <c r="E3" s="112" t="str">
        <f>[1]!b_info_creditrating(L3)</f>
        <v>-</v>
      </c>
      <c r="F3" s="111" t="str">
        <f>[1]!b_rate_creditratingagency(L3)</f>
        <v>新世纪资信评估投资服务有限公司</v>
      </c>
      <c r="G3" s="113">
        <f>[1]!b_agency_guarantor(L3)</f>
        <v>0</v>
      </c>
      <c r="H3" s="114" t="s">
        <v>186</v>
      </c>
      <c r="I3" s="66"/>
      <c r="J3" s="115" t="s">
        <v>186</v>
      </c>
      <c r="K3" s="116"/>
      <c r="L3" s="41" t="str">
        <f>公式页!A2</f>
        <v>d19041804.IB</v>
      </c>
      <c r="M3" s="114" t="s">
        <v>186</v>
      </c>
      <c r="N3" s="111" t="str">
        <f>[1]!b_agency_leadunderwriter(L3)</f>
        <v>上海浦东发展银行股份有限公司,招商证券股份有限公司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3.7271000000000001</v>
      </c>
      <c r="K4" s="116">
        <f>K3</f>
        <v>0</v>
      </c>
      <c r="L4" s="4" t="s">
        <v>187</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188</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5" t="s">
        <v>174</v>
      </c>
      <c r="B13" s="55" t="s">
        <v>175</v>
      </c>
      <c r="C13" s="55" t="s">
        <v>176</v>
      </c>
      <c r="D13" s="55" t="s">
        <v>177</v>
      </c>
      <c r="E13" s="55" t="s">
        <v>178</v>
      </c>
      <c r="F13" s="55" t="s">
        <v>179</v>
      </c>
      <c r="G13" s="55" t="s">
        <v>180</v>
      </c>
      <c r="H13" s="55" t="s">
        <v>16</v>
      </c>
      <c r="I13" s="55" t="s">
        <v>181</v>
      </c>
      <c r="J13" s="55" t="s">
        <v>182</v>
      </c>
      <c r="K13" s="55" t="s">
        <v>183</v>
      </c>
      <c r="L13" s="55" t="s">
        <v>184</v>
      </c>
      <c r="M13" s="55" t="s">
        <v>19</v>
      </c>
      <c r="N13" s="55" t="s">
        <v>185</v>
      </c>
      <c r="P13" s="109" t="str">
        <f t="shared" ca="1" si="0"/>
        <v>2019-04-17</v>
      </c>
    </row>
    <row r="14" spans="1:18" ht="15.75" customHeight="1" x14ac:dyDescent="0.25">
      <c r="A14" s="111" t="str">
        <f>[1]!b_info_name(L14)</f>
        <v>19康恩贝SCP001</v>
      </c>
      <c r="B14" s="2" t="str">
        <f>[1]!b_issue_firstissue(L14)</f>
        <v>2019-04-19</v>
      </c>
      <c r="C14" s="111">
        <f>[1]!b_info_term(L14)</f>
        <v>0.73970000000000002</v>
      </c>
      <c r="D14" s="112" t="str">
        <f>[1]!issuerrating(L14)</f>
        <v>AA+</v>
      </c>
      <c r="E14" s="112" t="str">
        <f>[1]!b_info_creditrating(L14)</f>
        <v>-</v>
      </c>
      <c r="F14" s="111" t="str">
        <f>[1]!b_rate_creditratingagency(L14)</f>
        <v>新世纪资信评估投资服务有限公司</v>
      </c>
      <c r="G14" s="113">
        <f>[1]!b_agency_guarantor(L14)</f>
        <v>0</v>
      </c>
      <c r="H14" s="114" t="s">
        <v>186</v>
      </c>
      <c r="I14" s="66"/>
      <c r="J14" s="115" t="s">
        <v>186</v>
      </c>
      <c r="K14" s="116">
        <f>K3</f>
        <v>0</v>
      </c>
      <c r="L14" s="42" t="str">
        <f>L3</f>
        <v>d19041804.IB</v>
      </c>
      <c r="M14" s="114" t="s">
        <v>186</v>
      </c>
      <c r="N14" s="111" t="str">
        <f>[1]!b_agency_leadunderwriter(L14)</f>
        <v>上海浦东发展银行股份有限公司,招商证券股份有限公司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189</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190</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191</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192</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193</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194</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195</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196</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197</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2019-04-18T07:53:35Z</dcterms:modified>
</cp:coreProperties>
</file>