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69D309D3-B721-43F2-A4EE-471CA8AA6A8F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B23" i="6"/>
  <c r="O21" i="6"/>
  <c r="F19" i="6"/>
  <c r="C18" i="6"/>
  <c r="M15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22" i="6"/>
  <c r="H21" i="6"/>
  <c r="E20" i="6"/>
  <c r="B19" i="6"/>
  <c r="O17" i="6"/>
  <c r="F15" i="6"/>
  <c r="E14" i="6"/>
  <c r="F9" i="6"/>
  <c r="G8" i="6"/>
  <c r="H7" i="6"/>
  <c r="F5" i="6"/>
  <c r="G4" i="6"/>
  <c r="E3" i="6"/>
  <c r="S140" i="1"/>
  <c r="S138" i="1"/>
  <c r="S136" i="1"/>
  <c r="M135" i="1"/>
  <c r="S133" i="1"/>
  <c r="O132" i="1"/>
  <c r="M131" i="1"/>
  <c r="O130" i="1"/>
  <c r="S129" i="1"/>
  <c r="M127" i="1"/>
  <c r="M23" i="6"/>
  <c r="G22" i="6"/>
  <c r="D21" i="6"/>
  <c r="A20" i="6"/>
  <c r="N18" i="6"/>
  <c r="H17" i="6"/>
  <c r="E16" i="6"/>
  <c r="B15" i="6"/>
  <c r="A14" i="6"/>
  <c r="B9" i="6"/>
  <c r="C8" i="6"/>
  <c r="D7" i="6"/>
  <c r="E6" i="6"/>
  <c r="B5" i="6"/>
  <c r="C4" i="6"/>
  <c r="A3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F23" i="6"/>
  <c r="C22" i="6"/>
  <c r="M19" i="6"/>
  <c r="G18" i="6"/>
  <c r="D17" i="6"/>
  <c r="A16" i="6"/>
  <c r="M8" i="6"/>
  <c r="N7" i="6"/>
  <c r="A6" i="6"/>
  <c r="M4" i="6"/>
  <c r="N3" i="6"/>
  <c r="Q2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S112" i="1"/>
  <c r="O103" i="1"/>
  <c r="M101" i="1"/>
  <c r="J100" i="1"/>
  <c r="Q99" i="1"/>
  <c r="F99" i="1"/>
  <c r="O98" i="1"/>
  <c r="D98" i="1"/>
  <c r="N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F109" i="1"/>
  <c r="J103" i="1"/>
  <c r="F101" i="1"/>
  <c r="F100" i="1"/>
  <c r="O99" i="1"/>
  <c r="D99" i="1"/>
  <c r="M98" i="1"/>
  <c r="B98" i="1"/>
  <c r="M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F111" i="1"/>
  <c r="D102" i="1"/>
  <c r="B101" i="1"/>
  <c r="D100" i="1"/>
  <c r="M99" i="1"/>
  <c r="B99" i="1"/>
  <c r="J98" i="1"/>
  <c r="Q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M110" i="1"/>
  <c r="Q101" i="1"/>
  <c r="O100" i="1"/>
  <c r="B100" i="1"/>
  <c r="J99" i="1"/>
  <c r="Q98" i="1"/>
  <c r="F98" i="1"/>
  <c r="O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C35" i="1"/>
  <c r="G33" i="1"/>
  <c r="E32" i="1"/>
  <c r="C31" i="1"/>
  <c r="R29" i="1"/>
  <c r="G29" i="1"/>
  <c r="P28" i="1"/>
  <c r="E28" i="1"/>
  <c r="N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P16" i="1"/>
  <c r="L16" i="1"/>
  <c r="E16" i="1"/>
  <c r="R15" i="1"/>
  <c r="N15" i="1"/>
  <c r="G15" i="1"/>
  <c r="C15" i="1"/>
  <c r="E14" i="1"/>
  <c r="F11" i="1"/>
  <c r="F9" i="1"/>
  <c r="F7" i="1"/>
  <c r="B5" i="1"/>
  <c r="C36" i="1"/>
  <c r="G34" i="1"/>
  <c r="E33" i="1"/>
  <c r="C32" i="1"/>
  <c r="G30" i="1"/>
  <c r="P29" i="1"/>
  <c r="E29" i="1"/>
  <c r="N28" i="1"/>
  <c r="C28" i="1"/>
  <c r="L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O16" i="1"/>
  <c r="J16" i="1"/>
  <c r="D16" i="1"/>
  <c r="Q15" i="1"/>
  <c r="M15" i="1"/>
  <c r="F15" i="1"/>
  <c r="B15" i="1"/>
  <c r="D14" i="1"/>
  <c r="B11" i="1"/>
  <c r="B9" i="1"/>
  <c r="B7" i="1"/>
  <c r="E4" i="1"/>
  <c r="G35" i="1"/>
  <c r="E34" i="1"/>
  <c r="C33" i="1"/>
  <c r="G31" i="1"/>
  <c r="E30" i="1"/>
  <c r="N29" i="1"/>
  <c r="C29" i="1"/>
  <c r="L28" i="1"/>
  <c r="R27" i="1"/>
  <c r="G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N16" i="1"/>
  <c r="G16" i="1"/>
  <c r="C16" i="1"/>
  <c r="P15" i="1"/>
  <c r="L15" i="1"/>
  <c r="E15" i="1"/>
  <c r="G14" i="1"/>
  <c r="C14" i="1"/>
  <c r="F10" i="1"/>
  <c r="F8" i="1"/>
  <c r="B6" i="1"/>
  <c r="B4" i="1"/>
  <c r="E35" i="1"/>
  <c r="C34" i="1"/>
  <c r="G32" i="1"/>
  <c r="E31" i="1"/>
  <c r="C30" i="1"/>
  <c r="L29" i="1"/>
  <c r="R28" i="1"/>
  <c r="G28" i="1"/>
  <c r="P27" i="1"/>
  <c r="E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Q16" i="1"/>
  <c r="M16" i="1"/>
  <c r="F16" i="1"/>
  <c r="B16" i="1"/>
  <c r="O15" i="1"/>
  <c r="J15" i="1"/>
  <c r="D15" i="1"/>
  <c r="F14" i="1"/>
  <c r="B14" i="1"/>
  <c r="B10" i="1"/>
  <c r="B8" i="1"/>
  <c r="E5" i="1"/>
  <c r="L22" i="1" l="1"/>
  <c r="P22" i="1"/>
  <c r="B110" i="1"/>
  <c r="M22" i="1"/>
  <c r="Q22" i="1"/>
  <c r="N22" i="1"/>
  <c r="R22" i="1"/>
  <c r="J22" i="1"/>
  <c r="O22" i="1"/>
  <c r="H11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P2" i="6"/>
  <c r="H109" i="1"/>
  <c r="H111" i="1"/>
  <c r="H118" i="1"/>
  <c r="D119" i="1"/>
  <c r="B120" i="1"/>
  <c r="B122" i="1"/>
  <c r="D123" i="1"/>
  <c r="H124" i="1"/>
  <c r="B126" i="1"/>
  <c r="B128" i="1"/>
  <c r="B130" i="1"/>
  <c r="B117" i="1"/>
  <c r="H119" i="1"/>
  <c r="D120" i="1"/>
  <c r="B121" i="1"/>
  <c r="D122" i="1"/>
  <c r="H123" i="1"/>
  <c r="B125" i="1"/>
  <c r="H126" i="1"/>
  <c r="H128" i="1"/>
  <c r="H130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P28" i="6"/>
  <c r="P16" i="6"/>
  <c r="P24" i="6"/>
  <c r="P20" i="6"/>
  <c r="P10" i="6"/>
  <c r="P6" i="6"/>
  <c r="J20" i="6"/>
  <c r="J6" i="6"/>
  <c r="J22" i="6"/>
  <c r="J9" i="6"/>
  <c r="J21" i="6"/>
  <c r="J7" i="6"/>
  <c r="J16" i="6"/>
  <c r="J19" i="6"/>
  <c r="J15" i="6"/>
  <c r="J23" i="6"/>
  <c r="J5" i="6"/>
  <c r="J17" i="6"/>
  <c r="J18" i="6"/>
  <c r="J8" i="6"/>
</calcChain>
</file>

<file path=xl/sharedStrings.xml><?xml version="1.0" encoding="utf-8"?>
<sst xmlns="http://schemas.openxmlformats.org/spreadsheetml/2006/main" count="565" uniqueCount="214">
  <si>
    <t>d19041810.IB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</si>
  <si>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</si>
  <si>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</si>
  <si>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</si>
  <si>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</si>
  <si>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</si>
  <si>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</si>
  <si>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</si>
  <si>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</si>
  <si>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</si>
  <si>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</si>
  <si>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</si>
  <si>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</si>
  <si>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</si>
  <si>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</si>
  <si>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</si>
  <si>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</si>
  <si>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</si>
  <si>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</si>
  <si>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</si>
  <si>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</si>
  <si>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</si>
  <si>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</si>
  <si>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主体级别</t>
  </si>
  <si>
    <t>*选择性黏贴</t>
  </si>
  <si>
    <t>数据年度</t>
  </si>
  <si>
    <t>2017年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</si>
  <si>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</si>
  <si>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</si>
  <si>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</si>
  <si>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</si>
  <si>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</si>
  <si>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</si>
  <si>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</si>
  <si>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</si>
  <si>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</si>
  <si>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</si>
  <si>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</si>
  <si>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</si>
  <si>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</si>
  <si>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</si>
  <si>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</si>
  <si>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</si>
  <si>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</si>
  <si>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</si>
  <si>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</si>
  <si>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</si>
  <si>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</si>
  <si>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</si>
  <si>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</si>
  <si>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</si>
  <si>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</si>
  <si>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</si>
  <si>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</si>
  <si>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</si>
  <si>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</si>
  <si>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</si>
  <si>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</si>
  <si>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</si>
  <si>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</si>
  <si>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</si>
  <si>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</si>
  <si>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</si>
  <si>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</si>
  <si>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</si>
  <si>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</si>
  <si>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</si>
  <si>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</si>
  <si>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</si>
  <si>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</si>
  <si>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</si>
  <si>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</si>
  <si>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</si>
  <si>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</si>
  <si>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</si>
  <si>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</si>
  <si>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</si>
  <si>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</si>
  <si>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</si>
  <si>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</si>
  <si>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</si>
  <si>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</si>
  <si>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</si>
  <si>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</si>
  <si>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</si>
  <si>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</si>
  <si>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</si>
  <si>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</si>
  <si>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</si>
  <si>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</si>
  <si>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</si>
  <si>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</si>
  <si>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</si>
  <si>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</si>
  <si>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</si>
  <si>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</si>
  <si>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</si>
  <si>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</si>
  <si>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</si>
  <si>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</si>
  <si>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</si>
  <si>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</si>
  <si>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</si>
  <si>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</si>
  <si>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</si>
  <si>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</si>
  <si>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</si>
  <si>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</si>
  <si>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</si>
  <si>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</si>
  <si>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</si>
  <si>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</si>
  <si>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</si>
  <si>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139554.SZ</t>
  </si>
  <si>
    <t>20190328</t>
  </si>
  <si>
    <t>文化A2</t>
  </si>
  <si>
    <t>139555.SZ</t>
  </si>
  <si>
    <t>文化A3</t>
  </si>
  <si>
    <t>139556.SZ</t>
  </si>
  <si>
    <t>文化次</t>
  </si>
  <si>
    <t>139553.SZ</t>
  </si>
  <si>
    <t>文化A1</t>
  </si>
  <si>
    <t>081900058.IB</t>
  </si>
  <si>
    <t>20190128</t>
  </si>
  <si>
    <t>19文化科技ABN001优先A2</t>
  </si>
  <si>
    <t>081900057.IB</t>
  </si>
  <si>
    <t>19文化科技ABN001优先A1</t>
  </si>
  <si>
    <t>081900059.IB</t>
  </si>
  <si>
    <t>19文化科技ABN001优先A3</t>
  </si>
  <si>
    <t>081900060.IB</t>
  </si>
  <si>
    <t>19文化科技ABN001次</t>
  </si>
  <si>
    <t>SZ0018.IOC</t>
  </si>
  <si>
    <t>20180309</t>
  </si>
  <si>
    <t>文租三期A1</t>
  </si>
  <si>
    <t>SZ0019.IOC</t>
  </si>
  <si>
    <t>文租三期A2</t>
  </si>
  <si>
    <t>SZ0020.IOC</t>
  </si>
  <si>
    <t>文租三期A3</t>
  </si>
  <si>
    <t>SZ0021.IOC</t>
  </si>
  <si>
    <t>文租三期次</t>
  </si>
  <si>
    <t>SAB751.IOC</t>
  </si>
  <si>
    <t>20170912</t>
  </si>
  <si>
    <t>文科2A</t>
  </si>
  <si>
    <t>SAB752.IOC</t>
  </si>
  <si>
    <t>文科2B</t>
  </si>
  <si>
    <t>SAB753.IOC</t>
  </si>
  <si>
    <t>文科2次</t>
  </si>
  <si>
    <t>SF3004.IOC</t>
  </si>
  <si>
    <t>20151230</t>
  </si>
  <si>
    <t>文科一期次</t>
  </si>
  <si>
    <t>SF3002.IOC</t>
  </si>
  <si>
    <t>文科一期B</t>
  </si>
  <si>
    <t>SF3001.IOC</t>
  </si>
  <si>
    <t>文科一期A</t>
  </si>
  <si>
    <t>SF3003.IOC</t>
  </si>
  <si>
    <t>文科一期C</t>
  </si>
  <si>
    <t>历史主体评级</t>
  </si>
  <si>
    <t>发布日期</t>
  </si>
  <si>
    <t>主体资信级别</t>
  </si>
  <si>
    <t>评级展望</t>
  </si>
  <si>
    <t>评级机构</t>
  </si>
  <si>
    <t>20180717</t>
  </si>
  <si>
    <t>AA</t>
  </si>
  <si>
    <t>稳定</t>
  </si>
  <si>
    <t>中诚信国际信用评级有限责任公司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</si>
  <si>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</si>
  <si>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</si>
  <si>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</si>
  <si>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</si>
  <si>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</si>
  <si>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</si>
  <si>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</si>
  <si>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</si>
  <si>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</si>
  <si>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</si>
  <si>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</si>
  <si>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</si>
  <si>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</si>
  <si>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</si>
  <si>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</si>
  <si>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</si>
  <si>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</si>
  <si>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</si>
  <si>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</si>
  <si>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</si>
  <si>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</si>
  <si>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</si>
  <si>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</si>
  <si>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</si>
  <si>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</si>
  <si>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</si>
  <si>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</si>
  <si>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</si>
  <si>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</si>
  <si>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</si>
  <si>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</si>
  <si>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</si>
  <si>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</si>
  <si>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</si>
  <si>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</si>
  <si>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</si>
  <si>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</si>
  <si>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</si>
  <si>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</si>
  <si>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北京市文化科技融资租赁股份有限公司</t>
  </si>
  <si>
    <t>中外合资企业</t>
  </si>
  <si>
    <t>金融--多元金融--多元金融服务--其他多元金融服务</t>
  </si>
  <si>
    <t>北京市顺义区金航中路1号院2号楼711室(天竺综合保税区-031)</t>
  </si>
  <si>
    <t>公司是北京市注册资本最多的外商投资融资租赁企业，全国外商投资融资租赁十强企业。公司为混合所有制文化企业，将在全国率先开展文化资产特别是文化无形资产融资租赁业务，是党的十八届三中全会后中国文化产业领域的重大创新。</t>
  </si>
  <si>
    <t>北京市文化投资发展集团有限责任公司</t>
  </si>
  <si>
    <t>红木投资有限公司</t>
  </si>
  <si>
    <t>北京民生通融资产管理中心(有限合伙)</t>
  </si>
  <si>
    <t/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</si>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</sst>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北京市文化科技融资租赁股份有限公司</v>
      </c>
      <c r="C4" s="115"/>
      <c r="D4" s="57" t="s">
        <v>3</v>
      </c>
      <c r="E4" s="114" t="str">
        <f>[1]!s_info_nature(A2)</f>
        <v>中外合资企业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金融--多元金融--多元金融服务--其他多元金融服务</v>
      </c>
      <c r="C5" s="115"/>
      <c r="D5" s="57" t="s">
        <v>5</v>
      </c>
      <c r="E5" s="114" t="str">
        <f>[1]!b_issuer_regaddress(A2)</f>
        <v>北京市顺义区金航中路1号院2号楼711室(天竺综合保税区-031)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北京市注册资本最多的外商投资融资租赁企业，全国外商投资融资租赁十强企业。公司为混合所有制文化企业，将在全国率先开展文化资产特别是文化无形资产融资租赁业务，是党的十八届三中全会后中国文化产业领域的重大创新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北京市文化投资发展集团有限责任公司</v>
      </c>
      <c r="C7" s="115"/>
      <c r="D7" s="115"/>
      <c r="E7" s="115"/>
      <c r="F7" s="60">
        <f>[1]!b_issuer_propofshareholder($A$2,"",1)%</f>
        <v>0.3306999969482422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红木投资有限公司</v>
      </c>
      <c r="C8" s="115"/>
      <c r="D8" s="115"/>
      <c r="E8" s="115"/>
      <c r="F8" s="60">
        <f>[1]!b_issuer_propofshareholder($A$2,"",2)%</f>
        <v>0.15270000457763672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北京民生通融资产管理中心(有限合伙)</v>
      </c>
      <c r="C9" s="115"/>
      <c r="D9" s="115"/>
      <c r="E9" s="115"/>
      <c r="F9" s="60">
        <f>[1]!b_issuer_propofshareholder($A$2,"",3)%</f>
        <v>0.12409999847412109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0.11670000076293946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7.7800002098083493E-2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d19041810.IB</v>
      </c>
      <c r="K14" s="26"/>
      <c r="L14" s="27">
        <f>T15</f>
        <v>0</v>
      </c>
      <c r="M14" s="27">
        <f>T16</f>
        <v>0</v>
      </c>
      <c r="N14" s="27">
        <f>T17</f>
        <v>0</v>
      </c>
      <c r="O14" s="27">
        <f>T18</f>
        <v>0</v>
      </c>
      <c r="P14" s="27">
        <f>T19</f>
        <v>0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北京市文化科技融资租赁股份有限公司</v>
      </c>
      <c r="K15" s="133"/>
      <c r="L15" s="8">
        <f>[1]!b_info_issuer(L14)</f>
        <v>0</v>
      </c>
      <c r="M15" s="8">
        <f>[1]!b_info_issuer(M14)</f>
        <v>0</v>
      </c>
      <c r="N15" s="8">
        <f>[1]!b_info_issuer(N14)</f>
        <v>0</v>
      </c>
      <c r="O15" s="8">
        <f>[1]!b_info_issuer(O14)</f>
        <v>0</v>
      </c>
      <c r="P15" s="8">
        <f>[1]!b_info_issuer(P14)</f>
        <v>0</v>
      </c>
      <c r="Q15" s="8">
        <f>[1]!b_info_issuer(Q14)</f>
        <v>0</v>
      </c>
      <c r="R15" s="8">
        <f>[1]!b_info_issuer(R14)</f>
        <v>0</v>
      </c>
      <c r="T15" s="4"/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23</v>
      </c>
      <c r="J16" s="65" t="str">
        <f>[1]!b_info_latestissurercreditrating(J14)</f>
        <v>AA</v>
      </c>
      <c r="K16" s="119"/>
      <c r="L16" s="65">
        <f>[1]!b_info_latestissurercreditrating(L14)</f>
        <v>0</v>
      </c>
      <c r="M16" s="65">
        <f>[1]!b_info_latestissurercreditrating(M14)</f>
        <v>0</v>
      </c>
      <c r="N16" s="65">
        <f>[1]!b_info_latestissurercreditrating(N14)</f>
        <v>0</v>
      </c>
      <c r="O16" s="65">
        <f>[1]!b_info_latestissurercreditrating(O14)</f>
        <v>0</v>
      </c>
      <c r="P16" s="65">
        <f>[1]!b_info_latestissurercreditrating(P14)</f>
        <v>0</v>
      </c>
      <c r="Q16" s="65">
        <f>[1]!b_info_latestissurercreditrating(Q14)</f>
        <v>0</v>
      </c>
      <c r="R16" s="65">
        <f>[1]!b_info_latestissurercreditrating(R14)</f>
        <v>0</v>
      </c>
      <c r="T16" s="4"/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24</v>
      </c>
      <c r="I17" s="9" t="s">
        <v>3</v>
      </c>
      <c r="J17" s="66" t="str">
        <f>[1]!s_info_nature(J14)</f>
        <v>中外合资企业</v>
      </c>
      <c r="K17" s="119"/>
      <c r="L17" s="66">
        <f>[1]!s_info_nature(L14)</f>
        <v>0</v>
      </c>
      <c r="M17" s="66">
        <f>[1]!s_info_nature(M14)</f>
        <v>0</v>
      </c>
      <c r="N17" s="66">
        <f>[1]!s_info_nature(N14)</f>
        <v>0</v>
      </c>
      <c r="O17" s="66">
        <f>[1]!s_info_nature(O14)</f>
        <v>0</v>
      </c>
      <c r="P17" s="66">
        <f>[1]!s_info_nature(P14)</f>
        <v>0</v>
      </c>
      <c r="Q17" s="66">
        <f>[1]!s_info_nature(Q14)</f>
        <v>0</v>
      </c>
      <c r="R17" s="66">
        <f>[1]!s_info_nature(R14)</f>
        <v>0</v>
      </c>
      <c r="T17" s="4"/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25</v>
      </c>
      <c r="J18" s="61" t="s">
        <v>26</v>
      </c>
      <c r="K18" s="119"/>
      <c r="L18" s="61" t="s">
        <v>26</v>
      </c>
      <c r="M18" s="61" t="s">
        <v>26</v>
      </c>
      <c r="N18" s="61" t="s">
        <v>26</v>
      </c>
      <c r="O18" s="61" t="s">
        <v>26</v>
      </c>
      <c r="P18" s="61" t="s">
        <v>26</v>
      </c>
      <c r="Q18" s="61" t="s">
        <v>26</v>
      </c>
      <c r="R18" s="61" t="s">
        <v>26</v>
      </c>
      <c r="T18" s="4"/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27</v>
      </c>
      <c r="J19" s="67">
        <f>[1]!b_stm07_bs(J14,74,J13,1)/100000000</f>
        <v>102.162057226</v>
      </c>
      <c r="K19" s="119"/>
      <c r="L19" s="67">
        <f>[1]!b_stm07_bs(L14,74,L13,1)/100000000</f>
        <v>0</v>
      </c>
      <c r="M19" s="67">
        <f>[1]!b_stm07_bs(M14,74,M13,1)/100000000</f>
        <v>0</v>
      </c>
      <c r="N19" s="67">
        <f>[1]!b_stm07_bs(N14,74,N13,1)/100000000</f>
        <v>0</v>
      </c>
      <c r="O19" s="67">
        <f>[1]!b_stm07_bs(O14,74,O13,1)/100000000</f>
        <v>0</v>
      </c>
      <c r="P19" s="67">
        <f>[1]!b_stm07_bs(P14,74,P13,1)/100000000</f>
        <v>0</v>
      </c>
      <c r="Q19" s="67">
        <f>[1]!b_stm07_bs(Q14,74,Q13,1)/100000000</f>
        <v>0</v>
      </c>
      <c r="R19" s="67">
        <f>[1]!b_stm07_bs(R14,74,R13,1)/100000000</f>
        <v>0</v>
      </c>
      <c r="T19" s="6"/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28</v>
      </c>
      <c r="J20" s="10">
        <f>[1]!s_fa_debttoassets(J14,J13)/100</f>
        <v>0.73545699999999992</v>
      </c>
      <c r="K20" s="119"/>
      <c r="L20" s="10">
        <f>[1]!s_fa_debttoassets(L14,L13)/100</f>
        <v>0</v>
      </c>
      <c r="M20" s="10">
        <f>[1]!s_fa_debttoassets(M14,M13)/100</f>
        <v>0</v>
      </c>
      <c r="N20" s="10">
        <f>[1]!s_fa_debttoassets(N14,N13)/100</f>
        <v>0</v>
      </c>
      <c r="O20" s="10">
        <f>[1]!s_fa_debttoassets(O14,O13)/100</f>
        <v>0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29</v>
      </c>
      <c r="J21" s="67">
        <f>[1]!s_fa_current(J14,J13)</f>
        <v>0.93369999999999997</v>
      </c>
      <c r="K21" s="119"/>
      <c r="L21" s="67">
        <f>[1]!s_fa_current(L14,L13)</f>
        <v>0</v>
      </c>
      <c r="M21" s="67">
        <f>[1]!s_fa_current(M14,M13)</f>
        <v>0</v>
      </c>
      <c r="N21" s="67">
        <f>[1]!s_fa_current(N14,N13)</f>
        <v>0</v>
      </c>
      <c r="O21" s="67">
        <f>[1]!s_fa_current(O14,O13)</f>
        <v>0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30</v>
      </c>
      <c r="J22" s="65">
        <f>(J96+J97+J98+J99+J100+J101)/J103</f>
        <v>1.7137698313170817</v>
      </c>
      <c r="K22" s="119"/>
      <c r="L22" s="65" t="e">
        <f>(公式页!L96+公式页!L97+公式页!L98+公式页!L99+公式页!L100+公式页!L101)/公式页!L103</f>
        <v>#DIV/0!</v>
      </c>
      <c r="M22" s="65" t="e">
        <f t="shared" ref="M22:R22" si="0">(M96+M97+M98+M99+M100+M101)/M103</f>
        <v>#DIV/0!</v>
      </c>
      <c r="N22" s="65" t="e">
        <f t="shared" si="0"/>
        <v>#DIV/0!</v>
      </c>
      <c r="O22" s="65" t="e">
        <f t="shared" si="0"/>
        <v>#DIV/0!</v>
      </c>
      <c r="P22" s="65" t="e">
        <f t="shared" si="0"/>
        <v>#DIV/0!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31</v>
      </c>
      <c r="J23" s="67">
        <f>[1]!s_fa_ebitdatodebt(J14,J13)</f>
        <v>4.3099999999999999E-2</v>
      </c>
      <c r="K23" s="119"/>
      <c r="L23" s="67">
        <f>[1]!s_fa_ebitdatodebt(L14,L13)</f>
        <v>0</v>
      </c>
      <c r="M23" s="67">
        <f>[1]!s_fa_ebitdatodebt(M14,M13)</f>
        <v>0</v>
      </c>
      <c r="N23" s="67">
        <f>[1]!s_fa_ebitdatodebt(N14,N13)</f>
        <v>0</v>
      </c>
      <c r="O23" s="67">
        <f>[1]!s_fa_ebitdatodebt(O14,O13)</f>
        <v>0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32</v>
      </c>
      <c r="J24" s="67">
        <f>[1]!b_stm07_is(J14,9,J13,1)/100000000</f>
        <v>7.0447018427999994</v>
      </c>
      <c r="K24" s="119"/>
      <c r="L24" s="67">
        <f>[1]!b_stm07_is(L14,9,L13,1)/100000000</f>
        <v>0</v>
      </c>
      <c r="M24" s="67">
        <f>[1]!b_stm07_is(M14,9,M13,1)/100000000</f>
        <v>0</v>
      </c>
      <c r="N24" s="67">
        <f>[1]!b_stm07_is(N14,9,N13,1)/100000000</f>
        <v>0</v>
      </c>
      <c r="O24" s="67">
        <f>[1]!b_stm07_is(O14,9,O13,1)/100000000</f>
        <v>0</v>
      </c>
      <c r="P24" s="67">
        <f>[1]!b_stm07_is(P14,9,P13,1)/100000000</f>
        <v>0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33</v>
      </c>
      <c r="J25" s="11">
        <f>[1]!s_fa_salescashintoor(J14,J13)%</f>
        <v>4.8006000000000002</v>
      </c>
      <c r="K25" s="119"/>
      <c r="L25" s="11">
        <f>[1]!s_fa_salescashintoor(L14,L13)%</f>
        <v>0</v>
      </c>
      <c r="M25" s="11">
        <f>[1]!s_fa_salescashintoor(M14,M13)%</f>
        <v>0</v>
      </c>
      <c r="N25" s="11">
        <f>[1]!s_fa_salescashintoor(N14,N13)%</f>
        <v>0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34</v>
      </c>
      <c r="J26" s="11">
        <f>[1]!s_fa_grossprofitmargin(J14,J13)%</f>
        <v>0.64058300000000001</v>
      </c>
      <c r="K26" s="119"/>
      <c r="L26" s="11">
        <f>[1]!s_fa_grossprofitmargin(L14,L13)%</f>
        <v>0</v>
      </c>
      <c r="M26" s="11">
        <f>[1]!s_fa_grossprofitmargin(M14,M13)%</f>
        <v>0</v>
      </c>
      <c r="N26" s="11">
        <f>[1]!s_fa_grossprofitmargin(N14,N13)%</f>
        <v>0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35</v>
      </c>
      <c r="J27" s="68">
        <f>[1]!b_stm07_is(J14,60,J13,1)/100000000</f>
        <v>2.4697342508000002</v>
      </c>
      <c r="K27" s="119"/>
      <c r="L27" s="68">
        <f>[1]!b_stm07_is(L14,60,L13,1)/100000000</f>
        <v>0</v>
      </c>
      <c r="M27" s="68">
        <f>[1]!b_stm07_is(M14,60,M13,1)/100000000</f>
        <v>0</v>
      </c>
      <c r="N27" s="68">
        <f>[1]!b_stm07_is(N14,60,N13,1)/100000000</f>
        <v>0</v>
      </c>
      <c r="O27" s="68">
        <f>[1]!b_stm07_is(O14,60,O13,1)/100000000</f>
        <v>0</v>
      </c>
      <c r="P27" s="68">
        <f>[1]!b_stm07_is(P14,60,P13,1)/100000000</f>
        <v>0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36</v>
      </c>
      <c r="I28" s="54" t="s">
        <v>37</v>
      </c>
      <c r="J28" s="10">
        <f>[1]!s_fa_roe(J14,J13)%</f>
        <v>0.101007</v>
      </c>
      <c r="K28" s="119"/>
      <c r="L28" s="10">
        <f>[1]!s_fa_roe(L14,L13)%</f>
        <v>0</v>
      </c>
      <c r="M28" s="10">
        <f>[1]!s_fa_roe(M14,M13)%</f>
        <v>0</v>
      </c>
      <c r="N28" s="10">
        <f>[1]!s_fa_roe(N14,N13)%</f>
        <v>0</v>
      </c>
      <c r="O28" s="10">
        <f>[1]!s_fa_roe(O14,O13)%</f>
        <v>0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38</v>
      </c>
      <c r="J29" s="68">
        <f>[1]!b_stm07_cs(J14,39,J13,1)/100000000</f>
        <v>-13.499196299100001</v>
      </c>
      <c r="K29" s="119"/>
      <c r="L29" s="68">
        <f>[1]!b_stm07_cs(L14,39,L13,1)/100000000</f>
        <v>0</v>
      </c>
      <c r="M29" s="68">
        <f>[1]!b_stm07_cs(M14,39,M13,1)/100000000</f>
        <v>0</v>
      </c>
      <c r="N29" s="68">
        <f>[1]!b_stm07_cs(N14,39,N13,1)/100000000</f>
        <v>0</v>
      </c>
      <c r="O29" s="68">
        <f>[1]!b_stm07_cs(O14,39,O13,1)/100000000</f>
        <v>0</v>
      </c>
      <c r="P29" s="68">
        <f>[1]!b_stm07_cs(P14,39,P13,1)/100000000</f>
        <v>0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39</v>
      </c>
      <c r="J96" s="70">
        <f>[1]!b_stm07_bs(J14,75,J13,1)</f>
        <v>407483601.23000002</v>
      </c>
      <c r="K96" s="70"/>
      <c r="L96" s="70">
        <f>[1]!b_stm07_bs(L14,75,L13,1)</f>
        <v>0</v>
      </c>
      <c r="M96" s="70">
        <f>[1]!b_stm07_bs(M14,75,M13,1)</f>
        <v>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40</v>
      </c>
      <c r="J97" s="70">
        <f>[1]!b_stm07_bs(J14,82,J13,1)</f>
        <v>11104798.23</v>
      </c>
      <c r="K97" s="70"/>
      <c r="L97" s="70">
        <f>[1]!b_stm07_bs(L14,82,L13,1)</f>
        <v>0</v>
      </c>
      <c r="M97" s="70">
        <f>[1]!b_stm07_bs(M14,82,M13,1)</f>
        <v>0</v>
      </c>
      <c r="N97" s="70">
        <f>[1]!b_stm07_bs(N14,82,N13,1)</f>
        <v>0</v>
      </c>
      <c r="O97" s="70">
        <f>[1]!b_stm07_bs(O14,82,O13,1)</f>
        <v>0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41</v>
      </c>
      <c r="J98" s="70">
        <f>[1]!b_stm07_bs(J14,88,J13,1)</f>
        <v>314681167.12</v>
      </c>
      <c r="K98" s="70"/>
      <c r="L98" s="70">
        <f>[1]!b_stm07_bs(L14,88,L13,1)</f>
        <v>0</v>
      </c>
      <c r="M98" s="70">
        <f>[1]!b_stm07_bs(M14,88,M13,1)</f>
        <v>0</v>
      </c>
      <c r="N98" s="70">
        <f>[1]!b_stm07_bs(N14,88,N13,1)</f>
        <v>0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42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43</v>
      </c>
      <c r="J100" s="70">
        <f>[1]!b_stm07_bs(J14,94,J13,1)</f>
        <v>3898410923.6300001</v>
      </c>
      <c r="K100" s="70"/>
      <c r="L100" s="70">
        <f>[1]!b_stm07_bs(L14,94,L13,1)</f>
        <v>0</v>
      </c>
      <c r="M100" s="70">
        <f>[1]!b_stm07_bs(M14,94,M13,1)</f>
        <v>0</v>
      </c>
      <c r="N100" s="70">
        <f>[1]!b_stm07_bs(N14,94,N13,1)</f>
        <v>0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44</v>
      </c>
      <c r="J101" s="70">
        <f>[1]!b_stm07_bs(J14,95,J13,1)</f>
        <v>0</v>
      </c>
      <c r="K101" s="70"/>
      <c r="L101" s="70">
        <f>[1]!b_stm07_bs(L14,95,L13,1)</f>
        <v>0</v>
      </c>
      <c r="M101" s="70">
        <f>[1]!b_stm07_bs(M14,95,M13,1)</f>
        <v>0</v>
      </c>
      <c r="N101" s="70">
        <f>[1]!b_stm07_bs(N14,95,N13,1)</f>
        <v>0</v>
      </c>
      <c r="O101" s="70">
        <f>[1]!b_stm07_bs(O14,95,O13,1)</f>
        <v>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45</v>
      </c>
      <c r="J103" s="70">
        <f>[1]!b_stm07_bs(J14,141,J13,1)</f>
        <v>2702626925.4899998</v>
      </c>
      <c r="K103" s="70"/>
      <c r="L103" s="70">
        <f>[1]!b_stm07_bs(L14,141,L13,1)</f>
        <v>0</v>
      </c>
      <c r="M103" s="70">
        <f>[1]!b_stm07_bs(M14,141,M13,1)</f>
        <v>0</v>
      </c>
      <c r="N103" s="70">
        <f>[1]!b_stm07_bs(N14,141,N13,1)</f>
        <v>0</v>
      </c>
      <c r="O103" s="70">
        <f>[1]!b_stm07_bs(O14,141,O13,1)</f>
        <v>0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18" t="s">
        <v>46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47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d19041810.IB</v>
      </c>
      <c r="L107" s="33">
        <f>B2</f>
        <v>43100</v>
      </c>
      <c r="M107" s="17"/>
    </row>
    <row r="108" spans="1:19" ht="12.75" customHeight="1" x14ac:dyDescent="0.25">
      <c r="A108" s="122" t="s">
        <v>48</v>
      </c>
      <c r="B108" s="113"/>
      <c r="C108" s="122" t="s">
        <v>49</v>
      </c>
      <c r="D108" s="119"/>
      <c r="E108" s="122" t="s">
        <v>50</v>
      </c>
      <c r="F108" s="119"/>
      <c r="G108" s="122" t="s">
        <v>51</v>
      </c>
      <c r="H108" s="119"/>
      <c r="I108" s="122" t="s">
        <v>52</v>
      </c>
      <c r="J108" s="119"/>
      <c r="L108" s="17"/>
      <c r="M108" s="17"/>
    </row>
    <row r="109" spans="1:19" ht="16.5" customHeight="1" x14ac:dyDescent="0.25">
      <c r="A109" s="54" t="s">
        <v>53</v>
      </c>
      <c r="B109" s="12">
        <f>M109/100</f>
        <v>0.73545699999999992</v>
      </c>
      <c r="C109" s="54" t="s">
        <v>29</v>
      </c>
      <c r="D109" s="71">
        <f>[1]!s_fa_current(A2,B2)</f>
        <v>0.93369999999999997</v>
      </c>
      <c r="E109" s="54" t="s">
        <v>33</v>
      </c>
      <c r="F109" s="72">
        <f>[1]!s_fa_salescashintoor(A2,B2)/100</f>
        <v>4.8006000000000002</v>
      </c>
      <c r="G109" s="54" t="s">
        <v>34</v>
      </c>
      <c r="H109" s="12">
        <f>S109/100</f>
        <v>0.64058300000000001</v>
      </c>
      <c r="I109" s="54"/>
      <c r="J109" s="16"/>
      <c r="K109" s="25"/>
      <c r="L109" s="34" t="s">
        <v>53</v>
      </c>
      <c r="M109" s="73">
        <f>[1]!s_fa_debttoassets(A2,B2)</f>
        <v>73.545699999999997</v>
      </c>
      <c r="N109" s="54" t="s">
        <v>29</v>
      </c>
      <c r="O109" s="35"/>
      <c r="P109" s="54" t="s">
        <v>33</v>
      </c>
      <c r="Q109" s="35"/>
      <c r="R109" s="54" t="s">
        <v>34</v>
      </c>
      <c r="S109" s="74">
        <f>[1]!s_fa_grossprofitmargin(A2,B2)</f>
        <v>64.058300000000003</v>
      </c>
    </row>
    <row r="110" spans="1:19" ht="15.75" customHeight="1" x14ac:dyDescent="0.25">
      <c r="A110" s="54" t="s">
        <v>54</v>
      </c>
      <c r="B110" s="12">
        <f>M110/100</f>
        <v>0.21138599999999999</v>
      </c>
      <c r="C110" s="54" t="s">
        <v>55</v>
      </c>
      <c r="D110" s="72">
        <f>[1]!s_fa_quick(A2,B2)</f>
        <v>0.93369999999999997</v>
      </c>
      <c r="E110" s="54" t="s">
        <v>56</v>
      </c>
      <c r="F110" s="71">
        <f>[1]!s_fa_arturn(A2,B2)</f>
        <v>0</v>
      </c>
      <c r="G110" s="54" t="s">
        <v>57</v>
      </c>
      <c r="H110" s="12">
        <f>S110/100</f>
        <v>0.46835900000000003</v>
      </c>
      <c r="I110" s="54"/>
      <c r="J110" s="16"/>
      <c r="L110" s="54" t="s">
        <v>54</v>
      </c>
      <c r="M110" s="73">
        <f>[1]!s_fa_catoassets(A2,B2)</f>
        <v>21.1386</v>
      </c>
      <c r="N110" s="54" t="s">
        <v>55</v>
      </c>
      <c r="O110" s="35"/>
      <c r="P110" s="54" t="s">
        <v>56</v>
      </c>
      <c r="Q110" s="72"/>
      <c r="R110" s="54" t="s">
        <v>57</v>
      </c>
      <c r="S110" s="74">
        <f>[1]!s_fa_optogr(A2,B2)</f>
        <v>46.835900000000002</v>
      </c>
    </row>
    <row r="111" spans="1:19" ht="15" customHeight="1" x14ac:dyDescent="0.25">
      <c r="A111" s="54" t="s">
        <v>58</v>
      </c>
      <c r="B111" s="12">
        <f>M111/100</f>
        <v>0.30782300000000001</v>
      </c>
      <c r="C111" s="54" t="s">
        <v>31</v>
      </c>
      <c r="D111" s="72">
        <f>[1]!s_fa_ebitdatodebt(A2,B2)</f>
        <v>4.3099999999999999E-2</v>
      </c>
      <c r="E111" s="54" t="s">
        <v>59</v>
      </c>
      <c r="F111" s="71">
        <f>[1]!s_fa_invturn(A2,B2)</f>
        <v>0</v>
      </c>
      <c r="G111" s="54" t="s">
        <v>37</v>
      </c>
      <c r="H111" s="12">
        <f>S111/100</f>
        <v>0.101007</v>
      </c>
      <c r="I111" s="54"/>
      <c r="J111" s="16"/>
      <c r="L111" s="54" t="s">
        <v>58</v>
      </c>
      <c r="M111" s="73">
        <f>[1]!s_fa_currentdebttodebt(A2,B2)</f>
        <v>30.782299999999999</v>
      </c>
      <c r="N111" s="54" t="s">
        <v>31</v>
      </c>
      <c r="O111" s="35"/>
      <c r="P111" s="54" t="s">
        <v>59</v>
      </c>
      <c r="Q111" s="35"/>
      <c r="R111" s="54" t="s">
        <v>37</v>
      </c>
      <c r="S111" s="74">
        <f>[1]!s_fa_roe(A2,B2)</f>
        <v>10.1007</v>
      </c>
    </row>
    <row r="112" spans="1:19" ht="14.25" customHeight="1" x14ac:dyDescent="0.25">
      <c r="A112" s="54" t="s">
        <v>30</v>
      </c>
      <c r="B112" s="75">
        <f>(M116+M117+M118+M119+M120+M121)/M123</f>
        <v>1.7137698313170817</v>
      </c>
      <c r="C112" s="54" t="s">
        <v>60</v>
      </c>
      <c r="D112" s="72">
        <f>[1]!s_fa_ebittointerest(A2,B2)</f>
        <v>0</v>
      </c>
      <c r="E112" s="54" t="s">
        <v>61</v>
      </c>
      <c r="F112" s="71">
        <f>[1]!s_fa_caturn(A2,B2)</f>
        <v>0.30270000000000002</v>
      </c>
      <c r="G112" s="54" t="s">
        <v>62</v>
      </c>
      <c r="H112" s="12">
        <f>S112/100</f>
        <v>3.4916000000000003E-2</v>
      </c>
      <c r="I112" s="54"/>
      <c r="J112" s="16"/>
      <c r="L112" s="54" t="s">
        <v>30</v>
      </c>
      <c r="M112" s="76"/>
      <c r="N112" s="54" t="s">
        <v>60</v>
      </c>
      <c r="O112" s="35"/>
      <c r="P112" s="54" t="s">
        <v>61</v>
      </c>
      <c r="Q112" s="35"/>
      <c r="R112" s="54" t="s">
        <v>62</v>
      </c>
      <c r="S112" s="74">
        <f>[1]!s_fa_roa2(A2,B2)</f>
        <v>3.4916</v>
      </c>
    </row>
    <row r="113" spans="1:21" x14ac:dyDescent="0.25">
      <c r="A113" s="30"/>
      <c r="B113" s="31"/>
      <c r="C113" s="30"/>
      <c r="D113" s="32"/>
      <c r="E113" s="30" t="s">
        <v>63</v>
      </c>
      <c r="F113" s="77">
        <f>[1]!s_fa_dupont_faturnover(A2,B2)</f>
        <v>7.6100000000000001E-2</v>
      </c>
      <c r="G113" s="30"/>
      <c r="H113" s="31"/>
      <c r="I113" s="30"/>
      <c r="J113" s="31"/>
      <c r="L113" s="30"/>
      <c r="M113" s="36"/>
      <c r="N113" s="30"/>
      <c r="O113" s="32"/>
      <c r="P113" s="30" t="s">
        <v>63</v>
      </c>
      <c r="Q113" s="37"/>
      <c r="R113" s="30"/>
      <c r="S113" s="31"/>
    </row>
    <row r="114" spans="1:21" ht="13.5" customHeight="1" x14ac:dyDescent="0.25">
      <c r="A114" s="118" t="s">
        <v>64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65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66</v>
      </c>
      <c r="B116" s="113"/>
      <c r="C116" s="124" t="s">
        <v>67</v>
      </c>
      <c r="D116" s="119"/>
      <c r="E116" s="125" t="s">
        <v>68</v>
      </c>
      <c r="F116" s="119"/>
      <c r="G116" s="119"/>
      <c r="H116" s="119"/>
      <c r="I116" s="119"/>
      <c r="J116" s="119"/>
      <c r="L116" s="17" t="s">
        <v>39</v>
      </c>
      <c r="M116" s="70">
        <f>[1]!b_stm07_bs(K107,75,L107,1)</f>
        <v>407483601.23000002</v>
      </c>
    </row>
    <row r="117" spans="1:21" ht="14.25" customHeight="1" x14ac:dyDescent="0.25">
      <c r="A117" s="54" t="s">
        <v>69</v>
      </c>
      <c r="B117" s="72">
        <f t="shared" ref="B117:B131" si="1">M127/100000000</f>
        <v>8.6146989430999987</v>
      </c>
      <c r="C117" s="54" t="s">
        <v>70</v>
      </c>
      <c r="D117" s="75">
        <f t="shared" ref="D117:D125" si="2">O127/100000000</f>
        <v>7.0447018427999994</v>
      </c>
      <c r="E117" s="126" t="s">
        <v>71</v>
      </c>
      <c r="F117" s="119"/>
      <c r="G117" s="119"/>
      <c r="H117" s="127">
        <f t="shared" ref="H117:H131" si="3">S127/100000000</f>
        <v>33.819093447500002</v>
      </c>
      <c r="I117" s="119"/>
      <c r="J117" s="119"/>
      <c r="L117" s="17" t="s">
        <v>40</v>
      </c>
      <c r="M117" s="70">
        <f>[1]!b_stm07_bs(K107,82,L107,1)</f>
        <v>11104798.23</v>
      </c>
    </row>
    <row r="118" spans="1:21" ht="14.25" customHeight="1" x14ac:dyDescent="0.25">
      <c r="A118" s="54" t="s">
        <v>72</v>
      </c>
      <c r="B118" s="72">
        <f t="shared" si="1"/>
        <v>0</v>
      </c>
      <c r="C118" s="54" t="s">
        <v>73</v>
      </c>
      <c r="D118" s="75">
        <f t="shared" si="2"/>
        <v>4.0604220414999999</v>
      </c>
      <c r="E118" s="126" t="s">
        <v>74</v>
      </c>
      <c r="F118" s="119"/>
      <c r="G118" s="119"/>
      <c r="H118" s="127">
        <f t="shared" si="3"/>
        <v>7.5051859097000007</v>
      </c>
      <c r="I118" s="119"/>
      <c r="J118" s="119"/>
      <c r="L118" s="17" t="s">
        <v>41</v>
      </c>
      <c r="M118" s="70">
        <f>[1]!b_stm07_bs(K107,88,L107,1)</f>
        <v>314681167.12</v>
      </c>
    </row>
    <row r="119" spans="1:21" ht="14.25" customHeight="1" x14ac:dyDescent="0.25">
      <c r="A119" s="54" t="s">
        <v>75</v>
      </c>
      <c r="B119" s="72">
        <f t="shared" si="1"/>
        <v>9.5440896999999993E-3</v>
      </c>
      <c r="C119" s="54" t="s">
        <v>76</v>
      </c>
      <c r="D119" s="75">
        <f t="shared" si="2"/>
        <v>2.5319822962999998</v>
      </c>
      <c r="E119" s="126" t="s">
        <v>77</v>
      </c>
      <c r="F119" s="119"/>
      <c r="G119" s="119"/>
      <c r="H119" s="128">
        <f t="shared" si="3"/>
        <v>41.324279357199998</v>
      </c>
      <c r="I119" s="119"/>
      <c r="J119" s="119"/>
      <c r="L119" s="17" t="s">
        <v>42</v>
      </c>
      <c r="M119" s="70">
        <f>[1]!b_stm07_bs(K107,147,L107,1)</f>
        <v>0</v>
      </c>
    </row>
    <row r="120" spans="1:21" ht="14.25" customHeight="1" x14ac:dyDescent="0.25">
      <c r="A120" s="54" t="s">
        <v>78</v>
      </c>
      <c r="B120" s="72">
        <f t="shared" si="1"/>
        <v>1.8659517699999999E-2</v>
      </c>
      <c r="C120" s="54" t="s">
        <v>79</v>
      </c>
      <c r="D120" s="75">
        <f t="shared" si="2"/>
        <v>0.60877375490000007</v>
      </c>
      <c r="E120" s="126" t="s">
        <v>80</v>
      </c>
      <c r="F120" s="119"/>
      <c r="G120" s="119"/>
      <c r="H120" s="127">
        <f t="shared" si="3"/>
        <v>52.4947417857</v>
      </c>
      <c r="I120" s="119"/>
      <c r="J120" s="119"/>
      <c r="L120" s="17" t="s">
        <v>43</v>
      </c>
      <c r="M120" s="70">
        <f>[1]!b_stm07_bs(K107,94,L107,1)</f>
        <v>3898410923.6300001</v>
      </c>
    </row>
    <row r="121" spans="1:21" ht="14.25" customHeight="1" x14ac:dyDescent="0.25">
      <c r="A121" s="54" t="s">
        <v>81</v>
      </c>
      <c r="B121" s="72">
        <f t="shared" si="1"/>
        <v>0</v>
      </c>
      <c r="C121" s="54" t="s">
        <v>82</v>
      </c>
      <c r="D121" s="75">
        <f t="shared" si="2"/>
        <v>0.45885567960000001</v>
      </c>
      <c r="E121" s="126" t="s">
        <v>83</v>
      </c>
      <c r="F121" s="119"/>
      <c r="G121" s="119"/>
      <c r="H121" s="127">
        <f t="shared" si="3"/>
        <v>0.88560188909999993</v>
      </c>
      <c r="I121" s="119"/>
      <c r="J121" s="119"/>
      <c r="L121" s="17" t="s">
        <v>44</v>
      </c>
      <c r="M121" s="70">
        <f>[1]!b_stm07_bs(K107,95,L107,1)</f>
        <v>0</v>
      </c>
    </row>
    <row r="122" spans="1:21" ht="14.25" customHeight="1" x14ac:dyDescent="0.25">
      <c r="A122" s="54" t="s">
        <v>84</v>
      </c>
      <c r="B122" s="72">
        <f t="shared" si="1"/>
        <v>6.4458332999999994E-3</v>
      </c>
      <c r="C122" s="54" t="s">
        <v>85</v>
      </c>
      <c r="D122" s="75">
        <f t="shared" si="2"/>
        <v>-6.79465338E-2</v>
      </c>
      <c r="E122" s="126" t="s">
        <v>86</v>
      </c>
      <c r="F122" s="119"/>
      <c r="G122" s="119"/>
      <c r="H122" s="128">
        <f t="shared" si="3"/>
        <v>54.823475656299998</v>
      </c>
      <c r="I122" s="119"/>
      <c r="J122" s="119"/>
      <c r="L122" s="17"/>
      <c r="M122" s="17"/>
    </row>
    <row r="123" spans="1:21" ht="14.25" customHeight="1" x14ac:dyDescent="0.25">
      <c r="A123" s="54" t="s">
        <v>87</v>
      </c>
      <c r="B123" s="78">
        <f t="shared" si="1"/>
        <v>102.162057226</v>
      </c>
      <c r="C123" s="54" t="s">
        <v>88</v>
      </c>
      <c r="D123" s="75">
        <f t="shared" si="2"/>
        <v>3.2994493794999999</v>
      </c>
      <c r="E123" s="126" t="s">
        <v>89</v>
      </c>
      <c r="F123" s="119"/>
      <c r="G123" s="119"/>
      <c r="H123" s="128">
        <f t="shared" si="3"/>
        <v>-13.499196299100001</v>
      </c>
      <c r="I123" s="119"/>
      <c r="J123" s="119"/>
      <c r="L123" s="17" t="s">
        <v>45</v>
      </c>
      <c r="M123" s="70">
        <f>[1]!b_stm07_bs(K107,141,L107,1)</f>
        <v>2702626925.4899998</v>
      </c>
    </row>
    <row r="124" spans="1:21" ht="14.25" customHeight="1" x14ac:dyDescent="0.25">
      <c r="A124" s="54" t="s">
        <v>90</v>
      </c>
      <c r="B124" s="72">
        <f t="shared" si="1"/>
        <v>4.0748360123000005</v>
      </c>
      <c r="C124" s="54" t="s">
        <v>91</v>
      </c>
      <c r="D124" s="75">
        <f t="shared" si="2"/>
        <v>3.3005447597000002</v>
      </c>
      <c r="E124" s="126" t="s">
        <v>92</v>
      </c>
      <c r="F124" s="119"/>
      <c r="G124" s="119"/>
      <c r="H124" s="128">
        <f t="shared" si="3"/>
        <v>-1.2535796640999999</v>
      </c>
      <c r="I124" s="119"/>
      <c r="J124" s="119"/>
      <c r="L124" s="17"/>
      <c r="M124" s="17"/>
    </row>
    <row r="125" spans="1:21" ht="27" customHeight="1" x14ac:dyDescent="0.25">
      <c r="A125" s="54" t="s">
        <v>93</v>
      </c>
      <c r="B125" s="72">
        <f t="shared" si="1"/>
        <v>3.1468116712</v>
      </c>
      <c r="C125" s="54" t="s">
        <v>35</v>
      </c>
      <c r="D125" s="75">
        <f t="shared" si="2"/>
        <v>2.4697342508000002</v>
      </c>
      <c r="E125" s="126" t="s">
        <v>94</v>
      </c>
      <c r="F125" s="119"/>
      <c r="G125" s="119"/>
      <c r="H125" s="127">
        <f t="shared" si="3"/>
        <v>3.5767921999999999</v>
      </c>
      <c r="I125" s="119"/>
      <c r="J125" s="119"/>
      <c r="L125" s="17"/>
      <c r="M125" s="17"/>
    </row>
    <row r="126" spans="1:21" ht="16.5" customHeight="1" x14ac:dyDescent="0.25">
      <c r="A126" s="54" t="s">
        <v>95</v>
      </c>
      <c r="B126" s="72">
        <f t="shared" si="1"/>
        <v>0</v>
      </c>
      <c r="C126" s="54"/>
      <c r="D126" s="79"/>
      <c r="E126" s="126" t="s">
        <v>96</v>
      </c>
      <c r="F126" s="119"/>
      <c r="G126" s="119"/>
      <c r="H126" s="127">
        <f t="shared" si="3"/>
        <v>51.142304398</v>
      </c>
      <c r="I126" s="119"/>
      <c r="J126" s="119"/>
      <c r="L126" s="129" t="s">
        <v>66</v>
      </c>
      <c r="M126" s="119"/>
      <c r="N126" s="129" t="s">
        <v>67</v>
      </c>
      <c r="O126" s="119"/>
      <c r="P126" s="120" t="s">
        <v>68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97</v>
      </c>
      <c r="B127" s="72">
        <f t="shared" si="1"/>
        <v>38.9841092363</v>
      </c>
      <c r="C127" s="54"/>
      <c r="D127" s="79"/>
      <c r="E127" s="126" t="s">
        <v>98</v>
      </c>
      <c r="F127" s="119"/>
      <c r="G127" s="119"/>
      <c r="H127" s="127">
        <f t="shared" si="3"/>
        <v>0</v>
      </c>
      <c r="I127" s="119"/>
      <c r="J127" s="119"/>
      <c r="L127" s="54" t="s">
        <v>69</v>
      </c>
      <c r="M127" s="74">
        <f>[1]!b_stm07_bs(K107,9,L107,1)</f>
        <v>861469894.30999994</v>
      </c>
      <c r="N127" s="54" t="s">
        <v>70</v>
      </c>
      <c r="O127" s="74">
        <f>[1]!b_stm07_is(K107,83,L107,1)</f>
        <v>704470184.27999997</v>
      </c>
      <c r="P127" s="126" t="s">
        <v>71</v>
      </c>
      <c r="Q127" s="119"/>
      <c r="R127" s="119"/>
      <c r="S127" s="131">
        <f>[1]!b_stm07_cs(K107,9,L107,1)</f>
        <v>3381909344.75</v>
      </c>
      <c r="T127" s="130"/>
      <c r="U127" s="130"/>
    </row>
    <row r="128" spans="1:21" ht="14.25" customHeight="1" x14ac:dyDescent="0.25">
      <c r="A128" s="54" t="s">
        <v>99</v>
      </c>
      <c r="B128" s="72">
        <f t="shared" si="1"/>
        <v>0</v>
      </c>
      <c r="C128" s="54"/>
      <c r="D128" s="79"/>
      <c r="E128" s="126" t="s">
        <v>100</v>
      </c>
      <c r="F128" s="119"/>
      <c r="G128" s="119"/>
      <c r="H128" s="128">
        <f t="shared" si="3"/>
        <v>56.552706461000007</v>
      </c>
      <c r="I128" s="119"/>
      <c r="J128" s="119"/>
      <c r="L128" s="54" t="s">
        <v>72</v>
      </c>
      <c r="M128" s="74">
        <f>[1]!b_stm07_bs(K107,12,L107,1)</f>
        <v>0</v>
      </c>
      <c r="N128" s="54" t="s">
        <v>73</v>
      </c>
      <c r="O128" s="74">
        <f>[1]!b_stm07_is(K107,84,L107,1)</f>
        <v>406042204.14999998</v>
      </c>
      <c r="P128" s="126" t="s">
        <v>74</v>
      </c>
      <c r="Q128" s="119"/>
      <c r="R128" s="119"/>
      <c r="S128" s="131">
        <f>[1]!b_stm07_cs(K107,11,L107,1)</f>
        <v>750518590.97000003</v>
      </c>
      <c r="T128" s="130"/>
      <c r="U128" s="130"/>
    </row>
    <row r="129" spans="1:21" ht="14.25" customHeight="1" x14ac:dyDescent="0.25">
      <c r="A129" s="54" t="s">
        <v>101</v>
      </c>
      <c r="B129" s="78">
        <f t="shared" si="1"/>
        <v>75.135787971100001</v>
      </c>
      <c r="C129" s="14"/>
      <c r="D129" s="13"/>
      <c r="E129" s="126" t="s">
        <v>102</v>
      </c>
      <c r="F129" s="119"/>
      <c r="G129" s="119"/>
      <c r="H129" s="127">
        <f t="shared" si="3"/>
        <v>31.6474401073</v>
      </c>
      <c r="I129" s="119"/>
      <c r="J129" s="119"/>
      <c r="L129" s="54" t="s">
        <v>75</v>
      </c>
      <c r="M129" s="74">
        <f>[1]!b_stm07_bs(K107,13,L107,1)</f>
        <v>954408.97</v>
      </c>
      <c r="N129" s="54" t="s">
        <v>76</v>
      </c>
      <c r="O129" s="74">
        <f>[1]!b_stm07_is(K107,10,L107,1)</f>
        <v>253198229.63</v>
      </c>
      <c r="P129" s="126" t="s">
        <v>77</v>
      </c>
      <c r="Q129" s="119"/>
      <c r="R129" s="119"/>
      <c r="S129" s="132">
        <f>[1]!b_stm07_cs(K107,25,L107,1)</f>
        <v>4132427935.7199998</v>
      </c>
      <c r="T129" s="130"/>
      <c r="U129" s="130"/>
    </row>
    <row r="130" spans="1:21" ht="14.25" customHeight="1" x14ac:dyDescent="0.25">
      <c r="A130" s="54" t="s">
        <v>103</v>
      </c>
      <c r="B130" s="78">
        <f t="shared" si="1"/>
        <v>27.026269254899997</v>
      </c>
      <c r="C130" s="14"/>
      <c r="D130" s="13"/>
      <c r="E130" s="126" t="s">
        <v>104</v>
      </c>
      <c r="F130" s="119"/>
      <c r="G130" s="119"/>
      <c r="H130" s="127">
        <f t="shared" si="3"/>
        <v>38.068763459800003</v>
      </c>
      <c r="I130" s="119"/>
      <c r="J130" s="119"/>
      <c r="L130" s="54" t="s">
        <v>78</v>
      </c>
      <c r="M130" s="74">
        <f>[1]!b_stm07_bs(K107,31,L107,1)</f>
        <v>1865951.77</v>
      </c>
      <c r="N130" s="54" t="s">
        <v>79</v>
      </c>
      <c r="O130" s="74">
        <f>[1]!b_stm07_is(K107,12,L107,1)</f>
        <v>60877375.490000002</v>
      </c>
      <c r="P130" s="126" t="s">
        <v>80</v>
      </c>
      <c r="Q130" s="119"/>
      <c r="R130" s="119"/>
      <c r="S130" s="131">
        <f>[1]!b_stm07_cs(K107,26,L107,1)</f>
        <v>5249474178.5699997</v>
      </c>
      <c r="T130" s="130"/>
      <c r="U130" s="130"/>
    </row>
    <row r="131" spans="1:21" ht="14.25" customHeight="1" x14ac:dyDescent="0.25">
      <c r="A131" s="15" t="s">
        <v>105</v>
      </c>
      <c r="B131" s="78">
        <f t="shared" si="1"/>
        <v>102.162057226</v>
      </c>
      <c r="C131" s="14"/>
      <c r="D131" s="13"/>
      <c r="E131" s="126" t="s">
        <v>106</v>
      </c>
      <c r="F131" s="119"/>
      <c r="G131" s="119"/>
      <c r="H131" s="128">
        <f t="shared" si="3"/>
        <v>18.4839430012</v>
      </c>
      <c r="I131" s="119"/>
      <c r="J131" s="119"/>
      <c r="L131" s="54" t="s">
        <v>81</v>
      </c>
      <c r="M131" s="74">
        <f>[1]!b_stm07_bs(K107,33,L107,1)</f>
        <v>0</v>
      </c>
      <c r="N131" s="54" t="s">
        <v>82</v>
      </c>
      <c r="O131" s="74">
        <f>[1]!b_stm07_is(K107,13,L107,1)</f>
        <v>45885567.960000001</v>
      </c>
      <c r="P131" s="126" t="s">
        <v>83</v>
      </c>
      <c r="Q131" s="119"/>
      <c r="R131" s="119"/>
      <c r="S131" s="131">
        <f>[1]!b_stm07_cs(K107,29,L107,1)</f>
        <v>88560188.909999996</v>
      </c>
      <c r="T131" s="130"/>
      <c r="U131" s="130"/>
    </row>
    <row r="132" spans="1:21" x14ac:dyDescent="0.25">
      <c r="L132" s="54" t="s">
        <v>84</v>
      </c>
      <c r="M132" s="74">
        <f>[1]!b_stm07_bs(K107,37,L107,1)</f>
        <v>644583.32999999996</v>
      </c>
      <c r="N132" s="54" t="s">
        <v>85</v>
      </c>
      <c r="O132" s="74">
        <f>[1]!b_stm07_is(K107,14,L107,1)</f>
        <v>-6794653.3799999999</v>
      </c>
      <c r="P132" s="126" t="s">
        <v>86</v>
      </c>
      <c r="Q132" s="119"/>
      <c r="R132" s="119"/>
      <c r="S132" s="132">
        <f>[1]!b_stm07_cs(K107,37,L107,1)</f>
        <v>5482347565.6300001</v>
      </c>
      <c r="T132" s="130"/>
      <c r="U132" s="130"/>
    </row>
    <row r="133" spans="1:21" x14ac:dyDescent="0.25">
      <c r="L133" s="54" t="s">
        <v>87</v>
      </c>
      <c r="M133" s="80">
        <f>[1]!b_stm07_bs(K107,74,L107,1)</f>
        <v>10216205722.6</v>
      </c>
      <c r="N133" s="54" t="s">
        <v>88</v>
      </c>
      <c r="O133" s="74">
        <f>[1]!b_stm07_is(K107,48,L107,1)</f>
        <v>329944937.94999999</v>
      </c>
      <c r="P133" s="126" t="s">
        <v>89</v>
      </c>
      <c r="Q133" s="119"/>
      <c r="R133" s="119"/>
      <c r="S133" s="132">
        <f>[1]!b_stm07_cs(K107,39,L107,1)</f>
        <v>-1349919629.9100001</v>
      </c>
      <c r="T133" s="130"/>
      <c r="U133" s="130"/>
    </row>
    <row r="134" spans="1:21" x14ac:dyDescent="0.25">
      <c r="L134" s="54" t="s">
        <v>90</v>
      </c>
      <c r="M134" s="74">
        <f>[1]!b_stm07_bs(K107,75,L107,1)</f>
        <v>407483601.23000002</v>
      </c>
      <c r="N134" s="54" t="s">
        <v>91</v>
      </c>
      <c r="O134" s="74">
        <f>[1]!b_stm07_is(K107,55,L107,1)</f>
        <v>330054475.97000003</v>
      </c>
      <c r="P134" s="126" t="s">
        <v>92</v>
      </c>
      <c r="Q134" s="119"/>
      <c r="R134" s="119"/>
      <c r="S134" s="132">
        <f>[1]!b_stm07_cs(K107,59,L107,1)</f>
        <v>-125357966.41</v>
      </c>
      <c r="T134" s="130"/>
      <c r="U134" s="130"/>
    </row>
    <row r="135" spans="1:21" ht="32.4" customHeight="1" x14ac:dyDescent="0.25">
      <c r="L135" s="54" t="s">
        <v>93</v>
      </c>
      <c r="M135" s="74">
        <f>[1]!b_stm07_bs(K107,88,L107,1)</f>
        <v>314681167.12</v>
      </c>
      <c r="N135" s="54" t="s">
        <v>35</v>
      </c>
      <c r="O135" s="74">
        <f>[1]!b_stm07_is(K107,60,L107,1)</f>
        <v>246973425.08000001</v>
      </c>
      <c r="P135" s="126" t="s">
        <v>94</v>
      </c>
      <c r="Q135" s="119"/>
      <c r="R135" s="119"/>
      <c r="S135" s="131">
        <f>[1]!b_stm07_cs(K107,60,L107,1)</f>
        <v>357679220</v>
      </c>
      <c r="T135" s="130"/>
      <c r="U135" s="130"/>
    </row>
    <row r="136" spans="1:21" ht="21.6" customHeight="1" x14ac:dyDescent="0.25">
      <c r="L136" s="54" t="s">
        <v>95</v>
      </c>
      <c r="M136" s="74">
        <f>[1]!b_stm07_bs(K107,147,L107,1)</f>
        <v>0</v>
      </c>
      <c r="N136" s="54"/>
      <c r="O136" s="79"/>
      <c r="P136" s="126" t="s">
        <v>96</v>
      </c>
      <c r="Q136" s="119"/>
      <c r="R136" s="119"/>
      <c r="S136" s="131">
        <f>[1]!b_stm07_cs(K107,61,L107,1)</f>
        <v>5114230439.8000002</v>
      </c>
      <c r="T136" s="130"/>
      <c r="U136" s="130"/>
    </row>
    <row r="137" spans="1:21" x14ac:dyDescent="0.25">
      <c r="L137" s="54" t="s">
        <v>97</v>
      </c>
      <c r="M137" s="74">
        <f>[1]!b_stm07_bs(K107,94,L107,1)</f>
        <v>3898410923.6300001</v>
      </c>
      <c r="N137" s="54"/>
      <c r="O137" s="79"/>
      <c r="P137" s="126" t="s">
        <v>98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99</v>
      </c>
      <c r="M138" s="74">
        <f>[1]!b_stm07_bs(K107,95,L107,1)</f>
        <v>0</v>
      </c>
      <c r="N138" s="54"/>
      <c r="O138" s="79"/>
      <c r="P138" s="126" t="s">
        <v>100</v>
      </c>
      <c r="Q138" s="119"/>
      <c r="R138" s="119"/>
      <c r="S138" s="132">
        <f>[1]!b_stm07_cs(K107,68,L107,1)</f>
        <v>5655270646.1000004</v>
      </c>
      <c r="T138" s="130"/>
      <c r="U138" s="130"/>
    </row>
    <row r="139" spans="1:21" x14ac:dyDescent="0.25">
      <c r="L139" s="54" t="s">
        <v>101</v>
      </c>
      <c r="M139" s="80">
        <f>[1]!b_stm07_bs(K107,128,L107,1)</f>
        <v>7513578797.1099997</v>
      </c>
      <c r="N139" s="14"/>
      <c r="O139" s="13"/>
      <c r="P139" s="126" t="s">
        <v>102</v>
      </c>
      <c r="Q139" s="119"/>
      <c r="R139" s="119"/>
      <c r="S139" s="131">
        <f>[1]!b_stm07_cs(K107,69,L107,1)</f>
        <v>3164744010.73</v>
      </c>
      <c r="T139" s="130"/>
      <c r="U139" s="130"/>
    </row>
    <row r="140" spans="1:21" ht="21.6" customHeight="1" x14ac:dyDescent="0.25">
      <c r="L140" s="54" t="s">
        <v>103</v>
      </c>
      <c r="M140" s="80">
        <f>[1]!b_stm07_bs(K107,141,L107,1)</f>
        <v>2702626925.4899998</v>
      </c>
      <c r="N140" s="14"/>
      <c r="O140" s="13"/>
      <c r="P140" s="126" t="s">
        <v>104</v>
      </c>
      <c r="Q140" s="119"/>
      <c r="R140" s="119"/>
      <c r="S140" s="131">
        <f>[1]!b_stm07_cs(K107,75,L107,1)</f>
        <v>3806876345.98</v>
      </c>
      <c r="T140" s="130"/>
      <c r="U140" s="130"/>
    </row>
    <row r="141" spans="1:21" ht="21.6" customHeight="1" x14ac:dyDescent="0.25">
      <c r="L141" s="15" t="s">
        <v>105</v>
      </c>
      <c r="M141" s="80">
        <f>[1]!b_stm07_bs(K107,145,L107,1)</f>
        <v>10216205722.6</v>
      </c>
      <c r="N141" s="14"/>
      <c r="O141" s="13"/>
      <c r="P141" s="126" t="s">
        <v>106</v>
      </c>
      <c r="Q141" s="119"/>
      <c r="R141" s="119"/>
      <c r="S141" s="132">
        <f>[1]!b_stm07_cs(K107,77,L107,1)</f>
        <v>1848394300.1199999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204</v>
      </c>
      <c r="C2" s="115"/>
      <c r="D2" s="57" t="s">
        <v>3</v>
      </c>
      <c r="E2" s="114" t="s">
        <v>205</v>
      </c>
      <c r="F2" s="115"/>
      <c r="G2" s="115"/>
    </row>
    <row r="3" spans="1:12" ht="14.25" customHeight="1" x14ac:dyDescent="0.25">
      <c r="A3" s="57" t="s">
        <v>4</v>
      </c>
      <c r="B3" s="114" t="s">
        <v>206</v>
      </c>
      <c r="C3" s="115"/>
      <c r="D3" s="57" t="s">
        <v>5</v>
      </c>
      <c r="E3" s="114" t="s">
        <v>207</v>
      </c>
      <c r="F3" s="115"/>
      <c r="G3" s="115"/>
    </row>
    <row r="4" spans="1:12" ht="113.25" customHeight="1" x14ac:dyDescent="0.25">
      <c r="A4" s="57" t="s">
        <v>6</v>
      </c>
      <c r="B4" s="116" t="s">
        <v>208</v>
      </c>
      <c r="C4" s="115"/>
      <c r="D4" s="115"/>
      <c r="E4" s="115"/>
      <c r="F4" s="115"/>
      <c r="G4" s="115"/>
    </row>
    <row r="5" spans="1:12" ht="14.4" x14ac:dyDescent="0.25">
      <c r="A5" s="81" t="s">
        <v>107</v>
      </c>
      <c r="B5" s="135" t="s">
        <v>209</v>
      </c>
      <c r="C5" s="115"/>
      <c r="D5" s="115"/>
      <c r="E5" s="115"/>
      <c r="F5" s="136">
        <v>0.3306999969482422</v>
      </c>
      <c r="G5" s="115"/>
    </row>
    <row r="6" spans="1:12" ht="11.25" customHeight="1" x14ac:dyDescent="0.25">
      <c r="A6" s="81" t="s">
        <v>108</v>
      </c>
      <c r="B6" s="135" t="s">
        <v>210</v>
      </c>
      <c r="C6" s="115"/>
      <c r="D6" s="115"/>
      <c r="E6" s="115"/>
      <c r="F6" s="136">
        <v>0.15270000457763672</v>
      </c>
      <c r="G6" s="115"/>
    </row>
    <row r="7" spans="1:12" ht="11.25" customHeight="1" x14ac:dyDescent="0.25">
      <c r="A7" s="81" t="s">
        <v>109</v>
      </c>
      <c r="B7" s="135" t="s">
        <v>211</v>
      </c>
      <c r="C7" s="115"/>
      <c r="D7" s="115"/>
      <c r="E7" s="115"/>
      <c r="F7" s="136">
        <v>0.12409999847412109</v>
      </c>
      <c r="G7" s="115"/>
    </row>
    <row r="8" spans="1:12" ht="11.25" customHeight="1" x14ac:dyDescent="0.25">
      <c r="A8" s="81" t="s">
        <v>110</v>
      </c>
      <c r="B8" s="135" t="s">
        <v>212</v>
      </c>
      <c r="C8" s="115"/>
      <c r="D8" s="115"/>
      <c r="E8" s="115"/>
      <c r="F8" s="136">
        <v>0.11670000076293946</v>
      </c>
      <c r="G8" s="115"/>
    </row>
    <row r="9" spans="1:12" ht="11.25" customHeight="1" x14ac:dyDescent="0.25">
      <c r="A9" s="81" t="s">
        <v>111</v>
      </c>
      <c r="B9" s="135" t="s">
        <v>212</v>
      </c>
      <c r="C9" s="115"/>
      <c r="D9" s="115"/>
      <c r="E9" s="115"/>
      <c r="F9" s="136">
        <v>7.7800002098083493E-2</v>
      </c>
      <c r="G9" s="115"/>
    </row>
    <row r="11" spans="1:12" ht="14.4" customHeight="1" x14ac:dyDescent="0.25">
      <c r="A11" s="137" t="s">
        <v>112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113</v>
      </c>
      <c r="B13" t="s">
        <v>114</v>
      </c>
      <c r="C13" t="s">
        <v>115</v>
      </c>
      <c r="D13" s="63">
        <v>5.4</v>
      </c>
      <c r="E13" s="63">
        <v>1.6958904109589041</v>
      </c>
      <c r="F13" s="64" t="s">
        <v>213</v>
      </c>
      <c r="G13" s="63">
        <v>2.75</v>
      </c>
    </row>
    <row r="14" spans="1:12" ht="14.4" customHeight="1" x14ac:dyDescent="0.25">
      <c r="A14" t="s">
        <v>116</v>
      </c>
      <c r="B14" t="s">
        <v>114</v>
      </c>
      <c r="C14" t="s">
        <v>117</v>
      </c>
      <c r="D14" s="63">
        <v>5.5</v>
      </c>
      <c r="E14" s="82">
        <v>2.4465753424657533</v>
      </c>
      <c r="F14" t="s">
        <v>213</v>
      </c>
      <c r="G14" s="63">
        <v>1.1100000000000001</v>
      </c>
    </row>
    <row r="15" spans="1:12" ht="14.4" customHeight="1" x14ac:dyDescent="0.25">
      <c r="A15" t="s">
        <v>118</v>
      </c>
      <c r="B15" t="s">
        <v>114</v>
      </c>
      <c r="C15" t="s">
        <v>119</v>
      </c>
      <c r="D15" s="63"/>
      <c r="E15" s="82">
        <v>2.4465753424657533</v>
      </c>
      <c r="F15">
        <v>0</v>
      </c>
      <c r="G15" s="63">
        <v>0.37</v>
      </c>
    </row>
    <row r="16" spans="1:12" ht="14.4" customHeight="1" x14ac:dyDescent="0.25">
      <c r="A16" t="s">
        <v>120</v>
      </c>
      <c r="B16" t="s">
        <v>114</v>
      </c>
      <c r="C16" t="s">
        <v>121</v>
      </c>
      <c r="D16" s="63">
        <v>5.0999999999999996</v>
      </c>
      <c r="E16" s="82">
        <v>0.69589041095890414</v>
      </c>
      <c r="F16" t="s">
        <v>213</v>
      </c>
      <c r="G16" s="63">
        <v>3.1</v>
      </c>
    </row>
    <row r="17" spans="1:7" ht="14.4" customHeight="1" x14ac:dyDescent="0.25">
      <c r="A17" t="s">
        <v>122</v>
      </c>
      <c r="B17" t="s">
        <v>123</v>
      </c>
      <c r="C17" t="s">
        <v>124</v>
      </c>
      <c r="D17" s="63">
        <v>5.5</v>
      </c>
      <c r="E17" s="82">
        <v>1.3616438356164384</v>
      </c>
      <c r="F17" t="s">
        <v>213</v>
      </c>
      <c r="G17" s="63">
        <v>2.5</v>
      </c>
    </row>
    <row r="18" spans="1:7" ht="14.4" customHeight="1" x14ac:dyDescent="0.25">
      <c r="A18" t="s">
        <v>125</v>
      </c>
      <c r="B18" t="s">
        <v>123</v>
      </c>
      <c r="C18" t="s">
        <v>126</v>
      </c>
      <c r="D18" s="63">
        <v>5.3</v>
      </c>
      <c r="E18" s="82">
        <v>0.36164383561643837</v>
      </c>
      <c r="F18" t="s">
        <v>213</v>
      </c>
      <c r="G18" s="63">
        <v>3.6</v>
      </c>
    </row>
    <row r="19" spans="1:7" ht="14.4" customHeight="1" x14ac:dyDescent="0.25">
      <c r="A19" t="s">
        <v>127</v>
      </c>
      <c r="B19" t="s">
        <v>123</v>
      </c>
      <c r="C19" t="s">
        <v>128</v>
      </c>
      <c r="D19" s="63">
        <v>6.2</v>
      </c>
      <c r="E19" s="82">
        <v>1.8657534246575342</v>
      </c>
      <c r="F19" t="s">
        <v>213</v>
      </c>
      <c r="G19" s="63">
        <v>0.8</v>
      </c>
    </row>
    <row r="20" spans="1:7" ht="14.4" customHeight="1" x14ac:dyDescent="0.25">
      <c r="A20" t="s">
        <v>129</v>
      </c>
      <c r="B20" t="s">
        <v>123</v>
      </c>
      <c r="C20" t="s">
        <v>130</v>
      </c>
      <c r="D20" s="63"/>
      <c r="E20" s="82">
        <v>4.1095890410958908</v>
      </c>
      <c r="F20">
        <v>0</v>
      </c>
      <c r="G20" s="63">
        <v>0.8</v>
      </c>
    </row>
    <row r="21" spans="1:7" ht="14.4" customHeight="1" x14ac:dyDescent="0.25">
      <c r="A21" t="s">
        <v>131</v>
      </c>
      <c r="B21" t="s">
        <v>132</v>
      </c>
      <c r="C21" t="s">
        <v>133</v>
      </c>
      <c r="D21" s="63">
        <v>6.7</v>
      </c>
      <c r="E21" s="82">
        <v>0</v>
      </c>
      <c r="F21">
        <v>0</v>
      </c>
      <c r="G21" s="63">
        <v>3.93</v>
      </c>
    </row>
    <row r="22" spans="1:7" ht="14.4" customHeight="1" x14ac:dyDescent="0.25">
      <c r="A22" t="s">
        <v>134</v>
      </c>
      <c r="B22" t="s">
        <v>132</v>
      </c>
      <c r="C22" t="s">
        <v>135</v>
      </c>
      <c r="D22" s="63">
        <v>6.8</v>
      </c>
      <c r="E22" s="82">
        <v>0.86575342465753424</v>
      </c>
      <c r="F22">
        <v>0</v>
      </c>
      <c r="G22" s="63">
        <v>2.65</v>
      </c>
    </row>
    <row r="23" spans="1:7" ht="14.4" customHeight="1" x14ac:dyDescent="0.25">
      <c r="A23" t="s">
        <v>136</v>
      </c>
      <c r="B23" t="s">
        <v>132</v>
      </c>
      <c r="C23" t="s">
        <v>137</v>
      </c>
      <c r="D23" s="63">
        <v>6.8</v>
      </c>
      <c r="E23" s="82">
        <v>1.6136986301369864</v>
      </c>
      <c r="F23">
        <v>0</v>
      </c>
      <c r="G23" s="63">
        <v>1.39</v>
      </c>
    </row>
    <row r="24" spans="1:7" ht="14.4" customHeight="1" x14ac:dyDescent="0.25">
      <c r="A24" t="s">
        <v>138</v>
      </c>
      <c r="B24" t="s">
        <v>132</v>
      </c>
      <c r="C24" t="s">
        <v>139</v>
      </c>
      <c r="D24" s="63"/>
      <c r="E24" s="82">
        <v>1.6136986301369864</v>
      </c>
      <c r="F24">
        <v>0</v>
      </c>
      <c r="G24" s="63">
        <v>0.42</v>
      </c>
    </row>
    <row r="25" spans="1:7" ht="14.4" customHeight="1" x14ac:dyDescent="0.25">
      <c r="A25" t="s">
        <v>140</v>
      </c>
      <c r="B25" t="s">
        <v>141</v>
      </c>
      <c r="C25" t="s">
        <v>142</v>
      </c>
      <c r="D25" s="63">
        <v>4.5</v>
      </c>
      <c r="E25" s="82">
        <v>0</v>
      </c>
      <c r="F25" t="s">
        <v>213</v>
      </c>
      <c r="G25" s="63">
        <v>1.83</v>
      </c>
    </row>
    <row r="26" spans="1:7" ht="14.4" customHeight="1" x14ac:dyDescent="0.25">
      <c r="A26" t="s">
        <v>143</v>
      </c>
      <c r="B26" t="s">
        <v>141</v>
      </c>
      <c r="C26" t="s">
        <v>144</v>
      </c>
      <c r="D26" s="63">
        <v>6.2</v>
      </c>
      <c r="E26" s="82">
        <v>0.44657534246575342</v>
      </c>
      <c r="F26" t="s">
        <v>213</v>
      </c>
      <c r="G26" s="63">
        <v>2.42</v>
      </c>
    </row>
    <row r="27" spans="1:7" ht="14.4" customHeight="1" x14ac:dyDescent="0.25">
      <c r="A27" t="s">
        <v>145</v>
      </c>
      <c r="B27" t="s">
        <v>141</v>
      </c>
      <c r="C27" t="s">
        <v>146</v>
      </c>
      <c r="D27" s="63">
        <v>1</v>
      </c>
      <c r="E27" s="82">
        <v>0.44657534246575342</v>
      </c>
      <c r="F27">
        <v>0</v>
      </c>
      <c r="G27" s="63">
        <v>0.23</v>
      </c>
    </row>
    <row r="28" spans="1:7" ht="14.4" customHeight="1" x14ac:dyDescent="0.25">
      <c r="A28" t="s">
        <v>147</v>
      </c>
      <c r="B28" t="s">
        <v>148</v>
      </c>
      <c r="C28" t="s">
        <v>149</v>
      </c>
      <c r="D28" s="63"/>
      <c r="E28" s="82">
        <v>0.44657534246575342</v>
      </c>
      <c r="F28">
        <v>0</v>
      </c>
      <c r="G28" s="63">
        <v>1.1499999999999999</v>
      </c>
    </row>
    <row r="29" spans="1:7" ht="14.4" customHeight="1" x14ac:dyDescent="0.25">
      <c r="A29" t="s">
        <v>150</v>
      </c>
      <c r="B29" t="s">
        <v>148</v>
      </c>
      <c r="C29" t="s">
        <v>151</v>
      </c>
      <c r="D29" s="63">
        <v>6.95</v>
      </c>
      <c r="E29" s="82">
        <v>0</v>
      </c>
      <c r="F29" t="s">
        <v>162</v>
      </c>
      <c r="G29" s="63">
        <v>0.92</v>
      </c>
    </row>
    <row r="30" spans="1:7" ht="14.4" customHeight="1" x14ac:dyDescent="0.25">
      <c r="A30" t="s">
        <v>152</v>
      </c>
      <c r="B30" t="s">
        <v>148</v>
      </c>
      <c r="C30" t="s">
        <v>153</v>
      </c>
      <c r="D30" s="63">
        <v>5.85</v>
      </c>
      <c r="E30" s="82">
        <v>0</v>
      </c>
      <c r="F30" t="s">
        <v>213</v>
      </c>
      <c r="G30" s="63">
        <v>4.5199999999999996</v>
      </c>
    </row>
    <row r="31" spans="1:7" ht="14.4" customHeight="1" x14ac:dyDescent="0.25">
      <c r="A31" t="s">
        <v>154</v>
      </c>
      <c r="B31" t="s">
        <v>148</v>
      </c>
      <c r="C31" t="s">
        <v>155</v>
      </c>
      <c r="D31" s="63">
        <v>7.99</v>
      </c>
      <c r="E31" s="82">
        <v>0.44657534246575342</v>
      </c>
      <c r="F31" t="s">
        <v>162</v>
      </c>
      <c r="G31" s="63">
        <v>1.07</v>
      </c>
    </row>
    <row r="32" spans="1:7" ht="14.4" customHeight="1" x14ac:dyDescent="0.25">
      <c r="D32" s="63"/>
      <c r="E32" s="82"/>
      <c r="G32" s="63"/>
    </row>
    <row r="33" spans="1:7" ht="14.4" customHeight="1" x14ac:dyDescent="0.25">
      <c r="D33" s="63"/>
      <c r="E33" s="82"/>
      <c r="G33" s="63"/>
    </row>
    <row r="34" spans="1:7" ht="14.4" customHeight="1" x14ac:dyDescent="0.25">
      <c r="D34" s="63"/>
      <c r="E34" s="82"/>
      <c r="G34" s="63"/>
    </row>
    <row r="35" spans="1:7" ht="14.4" customHeight="1" x14ac:dyDescent="0.25">
      <c r="D35" s="63"/>
      <c r="E35" s="82"/>
      <c r="G35" s="63"/>
    </row>
    <row r="36" spans="1:7" ht="14.4" customHeight="1" x14ac:dyDescent="0.25">
      <c r="D36" s="63"/>
      <c r="E36" s="82"/>
      <c r="G36" s="63"/>
    </row>
    <row r="37" spans="1:7" ht="14.4" customHeight="1" x14ac:dyDescent="0.25">
      <c r="A37" s="138" t="s">
        <v>156</v>
      </c>
      <c r="B37" s="138"/>
      <c r="C37" s="138"/>
      <c r="D37" s="138"/>
      <c r="E37" s="82"/>
      <c r="G37" s="63"/>
    </row>
    <row r="38" spans="1:7" ht="14.4" customHeight="1" x14ac:dyDescent="0.25">
      <c r="A38" s="83" t="s">
        <v>157</v>
      </c>
      <c r="B38" s="83" t="s">
        <v>158</v>
      </c>
      <c r="C38" s="83" t="s">
        <v>159</v>
      </c>
      <c r="D38" s="84" t="s">
        <v>160</v>
      </c>
      <c r="E38" s="82"/>
      <c r="G38" s="63"/>
    </row>
    <row r="39" spans="1:7" ht="14.4" customHeight="1" x14ac:dyDescent="0.25">
      <c r="A39" t="s">
        <v>161</v>
      </c>
      <c r="B39" t="s">
        <v>162</v>
      </c>
      <c r="C39" t="s">
        <v>163</v>
      </c>
      <c r="D39" s="63" t="s">
        <v>164</v>
      </c>
      <c r="E39" s="82"/>
      <c r="G39" s="63"/>
    </row>
    <row r="40" spans="1:7" ht="14.4" customHeight="1" x14ac:dyDescent="0.25">
      <c r="D40" s="63"/>
      <c r="E40" s="82"/>
      <c r="G40" s="63"/>
    </row>
    <row r="41" spans="1:7" ht="14.4" customHeight="1" x14ac:dyDescent="0.25">
      <c r="D41" s="63"/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165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7:D37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46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47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48</v>
      </c>
      <c r="B3" s="115"/>
      <c r="C3" s="137" t="s">
        <v>49</v>
      </c>
      <c r="D3" s="115"/>
      <c r="E3" s="137" t="s">
        <v>50</v>
      </c>
      <c r="F3" s="115"/>
      <c r="G3" s="137" t="s">
        <v>51</v>
      </c>
      <c r="H3" s="115"/>
      <c r="I3" s="137" t="s">
        <v>52</v>
      </c>
      <c r="J3" s="115"/>
    </row>
    <row r="4" spans="1:10" ht="21.6" customHeight="1" x14ac:dyDescent="0.25">
      <c r="A4" s="57" t="s">
        <v>53</v>
      </c>
      <c r="B4" s="85">
        <v>0.73545699999999992</v>
      </c>
      <c r="C4" s="57" t="s">
        <v>29</v>
      </c>
      <c r="D4" s="86">
        <v>0.93369999999999997</v>
      </c>
      <c r="E4" s="57" t="s">
        <v>33</v>
      </c>
      <c r="F4" s="85">
        <v>4.8006000000000002</v>
      </c>
      <c r="G4" s="57" t="s">
        <v>34</v>
      </c>
      <c r="H4" s="85">
        <v>0.64058300000000001</v>
      </c>
      <c r="I4" s="57"/>
      <c r="J4" s="87"/>
    </row>
    <row r="5" spans="1:10" ht="15.75" customHeight="1" x14ac:dyDescent="0.25">
      <c r="A5" s="57" t="s">
        <v>54</v>
      </c>
      <c r="B5" s="85">
        <v>0.21138599999999999</v>
      </c>
      <c r="C5" s="57" t="s">
        <v>55</v>
      </c>
      <c r="D5" s="86">
        <v>0.93369999999999997</v>
      </c>
      <c r="E5" s="57" t="s">
        <v>56</v>
      </c>
      <c r="F5" s="86">
        <v>0</v>
      </c>
      <c r="G5" s="57" t="s">
        <v>57</v>
      </c>
      <c r="H5" s="85">
        <v>0.46835900000000003</v>
      </c>
      <c r="I5" s="57"/>
      <c r="J5" s="87"/>
    </row>
    <row r="6" spans="1:10" ht="15" customHeight="1" x14ac:dyDescent="0.25">
      <c r="A6" s="57" t="s">
        <v>58</v>
      </c>
      <c r="B6" s="85">
        <v>0.30782300000000001</v>
      </c>
      <c r="C6" s="57" t="s">
        <v>31</v>
      </c>
      <c r="D6" s="88">
        <v>4.3099999999999999E-2</v>
      </c>
      <c r="E6" s="57" t="s">
        <v>59</v>
      </c>
      <c r="F6" s="86">
        <v>0</v>
      </c>
      <c r="G6" s="57" t="s">
        <v>37</v>
      </c>
      <c r="H6" s="85">
        <v>0.101007</v>
      </c>
      <c r="I6" s="57"/>
      <c r="J6" s="87"/>
    </row>
    <row r="7" spans="1:10" ht="14.25" customHeight="1" x14ac:dyDescent="0.25">
      <c r="A7" s="57" t="s">
        <v>30</v>
      </c>
      <c r="B7" s="88">
        <v>1.7137698313170817</v>
      </c>
      <c r="C7" s="57" t="s">
        <v>60</v>
      </c>
      <c r="D7" s="88">
        <v>0</v>
      </c>
      <c r="E7" s="57" t="s">
        <v>61</v>
      </c>
      <c r="F7" s="86">
        <v>0.30270000000000002</v>
      </c>
      <c r="G7" s="57" t="s">
        <v>62</v>
      </c>
      <c r="H7" s="85">
        <v>3.4916000000000003E-2</v>
      </c>
      <c r="I7" s="57"/>
      <c r="J7" s="87"/>
    </row>
    <row r="8" spans="1:10" x14ac:dyDescent="0.25">
      <c r="A8" s="57"/>
      <c r="B8" s="89"/>
      <c r="C8" s="57"/>
      <c r="D8" s="90"/>
      <c r="E8" s="57" t="s">
        <v>63</v>
      </c>
      <c r="F8" s="86">
        <v>7.6100000000000001E-2</v>
      </c>
      <c r="G8" s="57"/>
      <c r="H8" s="89"/>
      <c r="I8" s="57"/>
      <c r="J8" s="89"/>
    </row>
    <row r="9" spans="1:10" ht="13.5" customHeight="1" x14ac:dyDescent="0.25">
      <c r="A9" s="139" t="s">
        <v>64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65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66</v>
      </c>
      <c r="B11" s="115"/>
      <c r="C11" s="137" t="s">
        <v>67</v>
      </c>
      <c r="D11" s="115"/>
      <c r="E11" s="137" t="s">
        <v>68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69</v>
      </c>
      <c r="B12" s="91">
        <v>8.6146989430999987</v>
      </c>
      <c r="C12" s="57" t="s">
        <v>70</v>
      </c>
      <c r="D12" s="88">
        <v>7.0447018427999994</v>
      </c>
      <c r="E12" s="142" t="s">
        <v>71</v>
      </c>
      <c r="F12" s="115"/>
      <c r="G12" s="115"/>
      <c r="H12" s="143">
        <v>33.819093447500002</v>
      </c>
      <c r="I12" s="115"/>
      <c r="J12" s="115"/>
    </row>
    <row r="13" spans="1:10" ht="14.25" customHeight="1" x14ac:dyDescent="0.25">
      <c r="A13" s="57" t="s">
        <v>72</v>
      </c>
      <c r="B13" s="91">
        <v>0</v>
      </c>
      <c r="C13" s="57" t="s">
        <v>73</v>
      </c>
      <c r="D13" s="88">
        <v>4.0604220414999999</v>
      </c>
      <c r="E13" s="142" t="s">
        <v>74</v>
      </c>
      <c r="F13" s="115"/>
      <c r="G13" s="115"/>
      <c r="H13" s="143">
        <v>7.5051859097000007</v>
      </c>
      <c r="I13" s="115"/>
      <c r="J13" s="115"/>
    </row>
    <row r="14" spans="1:10" ht="14.25" customHeight="1" x14ac:dyDescent="0.25">
      <c r="A14" s="57" t="s">
        <v>75</v>
      </c>
      <c r="B14" s="91">
        <v>9.5440896999999993E-3</v>
      </c>
      <c r="C14" s="57" t="s">
        <v>76</v>
      </c>
      <c r="D14" s="88">
        <v>2.5319822962999998</v>
      </c>
      <c r="E14" s="142" t="s">
        <v>77</v>
      </c>
      <c r="F14" s="115"/>
      <c r="G14" s="115"/>
      <c r="H14" s="143">
        <v>41.324279357199998</v>
      </c>
      <c r="I14" s="115"/>
      <c r="J14" s="115"/>
    </row>
    <row r="15" spans="1:10" ht="14.25" customHeight="1" x14ac:dyDescent="0.25">
      <c r="A15" s="57" t="s">
        <v>78</v>
      </c>
      <c r="B15" s="91">
        <v>1.8659517699999999E-2</v>
      </c>
      <c r="C15" s="57" t="s">
        <v>79</v>
      </c>
      <c r="D15" s="88">
        <v>0.60877375490000007</v>
      </c>
      <c r="E15" s="142" t="s">
        <v>80</v>
      </c>
      <c r="F15" s="115"/>
      <c r="G15" s="115"/>
      <c r="H15" s="143">
        <v>52.4947417857</v>
      </c>
      <c r="I15" s="115"/>
      <c r="J15" s="115"/>
    </row>
    <row r="16" spans="1:10" ht="14.25" customHeight="1" x14ac:dyDescent="0.25">
      <c r="A16" s="57" t="s">
        <v>81</v>
      </c>
      <c r="B16" s="91">
        <v>0</v>
      </c>
      <c r="C16" s="57" t="s">
        <v>82</v>
      </c>
      <c r="D16" s="88">
        <v>0.45885567960000001</v>
      </c>
      <c r="E16" s="142" t="s">
        <v>83</v>
      </c>
      <c r="F16" s="115"/>
      <c r="G16" s="115"/>
      <c r="H16" s="143">
        <v>0.88560188909999993</v>
      </c>
      <c r="I16" s="115"/>
      <c r="J16" s="115"/>
    </row>
    <row r="17" spans="1:10" ht="14.25" customHeight="1" x14ac:dyDescent="0.25">
      <c r="A17" s="57" t="s">
        <v>84</v>
      </c>
      <c r="B17" s="91">
        <v>6.4458332999999994E-3</v>
      </c>
      <c r="C17" s="57" t="s">
        <v>85</v>
      </c>
      <c r="D17" s="88">
        <v>-6.79465338E-2</v>
      </c>
      <c r="E17" s="142" t="s">
        <v>86</v>
      </c>
      <c r="F17" s="115"/>
      <c r="G17" s="115"/>
      <c r="H17" s="143">
        <v>54.823475656299998</v>
      </c>
      <c r="I17" s="115"/>
      <c r="J17" s="115"/>
    </row>
    <row r="18" spans="1:10" ht="14.25" customHeight="1" x14ac:dyDescent="0.25">
      <c r="A18" s="57" t="s">
        <v>87</v>
      </c>
      <c r="B18" s="91">
        <v>102.162057226</v>
      </c>
      <c r="C18" s="57" t="s">
        <v>88</v>
      </c>
      <c r="D18" s="88">
        <v>3.2994493794999999</v>
      </c>
      <c r="E18" s="142" t="s">
        <v>89</v>
      </c>
      <c r="F18" s="115"/>
      <c r="G18" s="115"/>
      <c r="H18" s="143">
        <v>-13.499196299100001</v>
      </c>
      <c r="I18" s="115"/>
      <c r="J18" s="115"/>
    </row>
    <row r="19" spans="1:10" ht="14.25" customHeight="1" x14ac:dyDescent="0.25">
      <c r="A19" s="57" t="s">
        <v>90</v>
      </c>
      <c r="B19" s="91">
        <v>4.0748360123000005</v>
      </c>
      <c r="C19" s="57" t="s">
        <v>91</v>
      </c>
      <c r="D19" s="88">
        <v>3.3005447597000002</v>
      </c>
      <c r="E19" s="142" t="s">
        <v>92</v>
      </c>
      <c r="F19" s="115"/>
      <c r="G19" s="115"/>
      <c r="H19" s="143">
        <v>-1.2535796640999999</v>
      </c>
      <c r="I19" s="115"/>
      <c r="J19" s="115"/>
    </row>
    <row r="20" spans="1:10" ht="27" customHeight="1" x14ac:dyDescent="0.25">
      <c r="A20" s="57" t="s">
        <v>93</v>
      </c>
      <c r="B20" s="91">
        <v>3.1468116712</v>
      </c>
      <c r="C20" s="57" t="s">
        <v>35</v>
      </c>
      <c r="D20" s="88">
        <v>2.4697342508000002</v>
      </c>
      <c r="E20" s="142" t="s">
        <v>94</v>
      </c>
      <c r="F20" s="115"/>
      <c r="G20" s="115"/>
      <c r="H20" s="143">
        <v>3.5767921999999999</v>
      </c>
      <c r="I20" s="115"/>
      <c r="J20" s="115"/>
    </row>
    <row r="21" spans="1:10" ht="16.5" customHeight="1" x14ac:dyDescent="0.25">
      <c r="A21" s="57" t="s">
        <v>95</v>
      </c>
      <c r="B21" s="91">
        <v>0</v>
      </c>
      <c r="C21" s="57"/>
      <c r="D21" s="92"/>
      <c r="E21" s="142" t="s">
        <v>96</v>
      </c>
      <c r="F21" s="115"/>
      <c r="G21" s="115"/>
      <c r="H21" s="143">
        <v>51.142304398</v>
      </c>
      <c r="I21" s="115"/>
      <c r="J21" s="115"/>
    </row>
    <row r="22" spans="1:10" ht="14.25" customHeight="1" x14ac:dyDescent="0.25">
      <c r="A22" s="57" t="s">
        <v>97</v>
      </c>
      <c r="B22" s="91">
        <v>38.9841092363</v>
      </c>
      <c r="C22" s="57"/>
      <c r="D22" s="92"/>
      <c r="E22" s="142" t="s">
        <v>98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99</v>
      </c>
      <c r="B23" s="91">
        <v>0</v>
      </c>
      <c r="C23" s="57"/>
      <c r="D23" s="92"/>
      <c r="E23" s="142" t="s">
        <v>100</v>
      </c>
      <c r="F23" s="115"/>
      <c r="G23" s="115"/>
      <c r="H23" s="143">
        <v>56.552706461000007</v>
      </c>
      <c r="I23" s="115"/>
      <c r="J23" s="115"/>
    </row>
    <row r="24" spans="1:10" ht="14.25" customHeight="1" x14ac:dyDescent="0.25">
      <c r="A24" s="57" t="s">
        <v>101</v>
      </c>
      <c r="B24" s="91">
        <v>75.135787971100001</v>
      </c>
      <c r="C24" s="93"/>
      <c r="D24" s="90"/>
      <c r="E24" s="142" t="s">
        <v>102</v>
      </c>
      <c r="F24" s="115"/>
      <c r="G24" s="115"/>
      <c r="H24" s="143">
        <v>31.6474401073</v>
      </c>
      <c r="I24" s="115"/>
      <c r="J24" s="115"/>
    </row>
    <row r="25" spans="1:10" ht="14.25" customHeight="1" x14ac:dyDescent="0.25">
      <c r="A25" s="57" t="s">
        <v>103</v>
      </c>
      <c r="B25" s="91">
        <v>27.026269254899997</v>
      </c>
      <c r="C25" s="93"/>
      <c r="D25" s="90"/>
      <c r="E25" s="142" t="s">
        <v>104</v>
      </c>
      <c r="F25" s="115"/>
      <c r="G25" s="115"/>
      <c r="H25" s="143">
        <v>38.068763459800003</v>
      </c>
      <c r="I25" s="115"/>
      <c r="J25" s="115"/>
    </row>
    <row r="26" spans="1:10" ht="14.25" customHeight="1" x14ac:dyDescent="0.25">
      <c r="A26" s="94" t="s">
        <v>105</v>
      </c>
      <c r="B26" s="91">
        <v>102.162057226</v>
      </c>
      <c r="C26" s="93"/>
      <c r="D26" s="90"/>
      <c r="E26" s="142" t="s">
        <v>106</v>
      </c>
      <c r="F26" s="115"/>
      <c r="G26" s="115"/>
      <c r="H26" s="143">
        <v>18.4839430012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166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204</v>
      </c>
      <c r="C2" s="43" t="s">
        <v>167</v>
      </c>
      <c r="D2" s="43" t="s">
        <v>212</v>
      </c>
      <c r="E2" s="43" t="s">
        <v>212</v>
      </c>
      <c r="F2" s="43" t="s">
        <v>212</v>
      </c>
      <c r="G2" s="43" t="s">
        <v>212</v>
      </c>
      <c r="H2" s="43" t="s">
        <v>212</v>
      </c>
      <c r="I2" s="43" t="s">
        <v>212</v>
      </c>
      <c r="J2" s="43" t="s">
        <v>212</v>
      </c>
    </row>
    <row r="3" spans="1:10" x14ac:dyDescent="0.25">
      <c r="A3" s="54" t="s">
        <v>23</v>
      </c>
      <c r="B3" s="96" t="s">
        <v>162</v>
      </c>
      <c r="C3" s="97" t="s">
        <v>168</v>
      </c>
      <c r="D3" s="96" t="s">
        <v>212</v>
      </c>
      <c r="E3" s="96" t="s">
        <v>212</v>
      </c>
      <c r="F3" s="96" t="s">
        <v>212</v>
      </c>
      <c r="G3" s="96" t="s">
        <v>212</v>
      </c>
      <c r="H3" s="96" t="s">
        <v>212</v>
      </c>
      <c r="I3" s="96" t="s">
        <v>212</v>
      </c>
      <c r="J3" s="96" t="s">
        <v>212</v>
      </c>
    </row>
    <row r="4" spans="1:10" s="7" customFormat="1" ht="21.6" x14ac:dyDescent="0.25">
      <c r="A4" s="9" t="s">
        <v>3</v>
      </c>
      <c r="B4" s="98" t="s">
        <v>205</v>
      </c>
      <c r="C4" s="97" t="s">
        <v>168</v>
      </c>
      <c r="D4" s="98" t="s">
        <v>212</v>
      </c>
      <c r="E4" s="98" t="s">
        <v>212</v>
      </c>
      <c r="F4" s="98" t="s">
        <v>212</v>
      </c>
      <c r="G4" s="98" t="s">
        <v>212</v>
      </c>
      <c r="H4" s="98" t="s">
        <v>212</v>
      </c>
      <c r="I4" s="98" t="s">
        <v>212</v>
      </c>
      <c r="J4" s="98" t="s">
        <v>212</v>
      </c>
    </row>
    <row r="5" spans="1:10" s="7" customFormat="1" x14ac:dyDescent="0.25">
      <c r="A5" s="9" t="s">
        <v>25</v>
      </c>
      <c r="B5" s="99" t="s">
        <v>26</v>
      </c>
      <c r="C5" s="97" t="s">
        <v>168</v>
      </c>
      <c r="D5" s="99" t="s">
        <v>212</v>
      </c>
      <c r="E5" s="99" t="s">
        <v>212</v>
      </c>
      <c r="F5" s="99" t="s">
        <v>212</v>
      </c>
      <c r="G5" s="99" t="s">
        <v>212</v>
      </c>
      <c r="H5" s="99" t="s">
        <v>212</v>
      </c>
      <c r="I5" s="99" t="s">
        <v>212</v>
      </c>
      <c r="J5" s="99" t="s">
        <v>212</v>
      </c>
    </row>
    <row r="6" spans="1:10" x14ac:dyDescent="0.25">
      <c r="A6" s="54" t="s">
        <v>27</v>
      </c>
      <c r="B6" s="100">
        <v>102.162057226</v>
      </c>
      <c r="C6" s="97" t="s">
        <v>168</v>
      </c>
      <c r="D6" s="100" t="s">
        <v>212</v>
      </c>
      <c r="E6" s="100" t="s">
        <v>212</v>
      </c>
      <c r="F6" s="100" t="s">
        <v>212</v>
      </c>
      <c r="G6" s="100" t="s">
        <v>212</v>
      </c>
      <c r="H6" s="100" t="s">
        <v>212</v>
      </c>
      <c r="I6" s="100" t="s">
        <v>212</v>
      </c>
      <c r="J6" s="100" t="s">
        <v>212</v>
      </c>
    </row>
    <row r="7" spans="1:10" x14ac:dyDescent="0.25">
      <c r="A7" s="54" t="s">
        <v>28</v>
      </c>
      <c r="B7" s="44">
        <v>0.73545699999999992</v>
      </c>
      <c r="C7" s="97" t="s">
        <v>168</v>
      </c>
      <c r="D7" s="44" t="s">
        <v>212</v>
      </c>
      <c r="E7" s="44" t="s">
        <v>212</v>
      </c>
      <c r="F7" s="44" t="s">
        <v>212</v>
      </c>
      <c r="G7" s="44" t="s">
        <v>212</v>
      </c>
      <c r="H7" s="44" t="s">
        <v>212</v>
      </c>
      <c r="I7" s="44" t="s">
        <v>212</v>
      </c>
      <c r="J7" s="44" t="s">
        <v>212</v>
      </c>
    </row>
    <row r="8" spans="1:10" x14ac:dyDescent="0.25">
      <c r="A8" s="54" t="s">
        <v>29</v>
      </c>
      <c r="B8" s="100">
        <v>0.93369999999999997</v>
      </c>
      <c r="C8" s="97" t="s">
        <v>168</v>
      </c>
      <c r="D8" s="100" t="s">
        <v>212</v>
      </c>
      <c r="E8" s="100" t="s">
        <v>212</v>
      </c>
      <c r="F8" s="100" t="s">
        <v>212</v>
      </c>
      <c r="G8" s="100" t="s">
        <v>212</v>
      </c>
      <c r="H8" s="100" t="s">
        <v>212</v>
      </c>
      <c r="I8" s="100" t="s">
        <v>212</v>
      </c>
      <c r="J8" s="100" t="s">
        <v>212</v>
      </c>
    </row>
    <row r="9" spans="1:10" x14ac:dyDescent="0.25">
      <c r="A9" s="54" t="s">
        <v>30</v>
      </c>
      <c r="B9" s="96">
        <v>1.7137698313170817</v>
      </c>
      <c r="C9" s="97" t="s">
        <v>168</v>
      </c>
      <c r="D9" s="96" t="s">
        <v>212</v>
      </c>
      <c r="E9" s="96" t="s">
        <v>212</v>
      </c>
      <c r="F9" s="96" t="s">
        <v>212</v>
      </c>
      <c r="G9" s="96" t="s">
        <v>212</v>
      </c>
      <c r="H9" s="96" t="s">
        <v>212</v>
      </c>
      <c r="I9" s="96" t="s">
        <v>212</v>
      </c>
      <c r="J9" s="96" t="s">
        <v>212</v>
      </c>
    </row>
    <row r="10" spans="1:10" ht="21.6" customHeight="1" x14ac:dyDescent="0.25">
      <c r="A10" s="54" t="s">
        <v>31</v>
      </c>
      <c r="B10" s="100">
        <v>4.3099999999999999E-2</v>
      </c>
      <c r="C10" s="97" t="s">
        <v>168</v>
      </c>
      <c r="D10" s="100" t="s">
        <v>212</v>
      </c>
      <c r="E10" s="100" t="s">
        <v>212</v>
      </c>
      <c r="F10" s="100" t="s">
        <v>212</v>
      </c>
      <c r="G10" s="100" t="s">
        <v>212</v>
      </c>
      <c r="H10" s="100" t="s">
        <v>212</v>
      </c>
      <c r="I10" s="100" t="s">
        <v>212</v>
      </c>
      <c r="J10" s="100" t="s">
        <v>212</v>
      </c>
    </row>
    <row r="11" spans="1:10" x14ac:dyDescent="0.25">
      <c r="A11" s="54" t="s">
        <v>32</v>
      </c>
      <c r="B11" s="100">
        <v>7.0447018427999994</v>
      </c>
      <c r="C11" s="97" t="s">
        <v>168</v>
      </c>
      <c r="D11" s="100" t="s">
        <v>212</v>
      </c>
      <c r="E11" s="100" t="s">
        <v>212</v>
      </c>
      <c r="F11" s="100" t="s">
        <v>212</v>
      </c>
      <c r="G11" s="100" t="s">
        <v>212</v>
      </c>
      <c r="H11" s="100" t="s">
        <v>212</v>
      </c>
      <c r="I11" s="100" t="s">
        <v>212</v>
      </c>
      <c r="J11" s="100" t="s">
        <v>212</v>
      </c>
    </row>
    <row r="12" spans="1:10" s="7" customFormat="1" x14ac:dyDescent="0.25">
      <c r="A12" s="9" t="s">
        <v>33</v>
      </c>
      <c r="B12" s="45">
        <v>4.8006000000000002</v>
      </c>
      <c r="C12" s="97" t="s">
        <v>168</v>
      </c>
      <c r="D12" s="45" t="s">
        <v>212</v>
      </c>
      <c r="E12" s="45" t="s">
        <v>212</v>
      </c>
      <c r="F12" s="45" t="s">
        <v>212</v>
      </c>
      <c r="G12" s="45" t="s">
        <v>212</v>
      </c>
      <c r="H12" s="45" t="s">
        <v>212</v>
      </c>
      <c r="I12" s="45" t="s">
        <v>212</v>
      </c>
      <c r="J12" s="45" t="s">
        <v>212</v>
      </c>
    </row>
    <row r="13" spans="1:10" s="7" customFormat="1" x14ac:dyDescent="0.25">
      <c r="A13" s="9" t="s">
        <v>34</v>
      </c>
      <c r="B13" s="45">
        <v>0.64058300000000001</v>
      </c>
      <c r="C13" s="97" t="s">
        <v>168</v>
      </c>
      <c r="D13" s="45" t="s">
        <v>212</v>
      </c>
      <c r="E13" s="45" t="s">
        <v>212</v>
      </c>
      <c r="F13" s="45" t="s">
        <v>212</v>
      </c>
      <c r="G13" s="45" t="s">
        <v>212</v>
      </c>
      <c r="H13" s="45" t="s">
        <v>212</v>
      </c>
      <c r="I13" s="45" t="s">
        <v>212</v>
      </c>
      <c r="J13" s="45" t="s">
        <v>212</v>
      </c>
    </row>
    <row r="14" spans="1:10" s="7" customFormat="1" x14ac:dyDescent="0.25">
      <c r="A14" s="9" t="s">
        <v>35</v>
      </c>
      <c r="B14" s="101">
        <v>2.4697342508000002</v>
      </c>
      <c r="C14" s="97" t="s">
        <v>168</v>
      </c>
      <c r="D14" s="101" t="s">
        <v>212</v>
      </c>
      <c r="E14" s="101" t="s">
        <v>212</v>
      </c>
      <c r="F14" s="101" t="s">
        <v>212</v>
      </c>
      <c r="G14" s="101" t="s">
        <v>212</v>
      </c>
      <c r="H14" s="101" t="s">
        <v>212</v>
      </c>
      <c r="I14" s="101" t="s">
        <v>212</v>
      </c>
      <c r="J14" s="101" t="s">
        <v>212</v>
      </c>
    </row>
    <row r="15" spans="1:10" x14ac:dyDescent="0.25">
      <c r="A15" s="54" t="s">
        <v>37</v>
      </c>
      <c r="B15" s="44">
        <v>0.101007</v>
      </c>
      <c r="C15" s="97" t="s">
        <v>168</v>
      </c>
      <c r="D15" s="44" t="s">
        <v>212</v>
      </c>
      <c r="E15" s="44" t="s">
        <v>212</v>
      </c>
      <c r="F15" s="44" t="s">
        <v>212</v>
      </c>
      <c r="G15" s="44" t="s">
        <v>212</v>
      </c>
      <c r="H15" s="44" t="s">
        <v>212</v>
      </c>
      <c r="I15" s="44" t="s">
        <v>212</v>
      </c>
      <c r="J15" s="44" t="s">
        <v>212</v>
      </c>
    </row>
    <row r="16" spans="1:10" s="7" customFormat="1" ht="25.8" customHeight="1" x14ac:dyDescent="0.25">
      <c r="A16" s="9" t="s">
        <v>38</v>
      </c>
      <c r="B16" s="101">
        <v>-13.499196299100001</v>
      </c>
      <c r="C16" s="97" t="s">
        <v>168</v>
      </c>
      <c r="D16" s="101" t="s">
        <v>212</v>
      </c>
      <c r="E16" s="101" t="s">
        <v>212</v>
      </c>
      <c r="F16" s="101" t="s">
        <v>212</v>
      </c>
      <c r="G16" s="101" t="s">
        <v>212</v>
      </c>
      <c r="H16" s="101" t="s">
        <v>212</v>
      </c>
      <c r="I16" s="101" t="s">
        <v>212</v>
      </c>
      <c r="J16" s="101" t="s">
        <v>212</v>
      </c>
    </row>
    <row r="17" spans="1:10" x14ac:dyDescent="0.25">
      <c r="A17" s="54" t="s">
        <v>52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169</v>
      </c>
      <c r="B1" s="119"/>
      <c r="C1" s="119"/>
      <c r="D1" s="119"/>
      <c r="E1" s="119"/>
      <c r="F1" s="119"/>
    </row>
    <row r="2" spans="1:6" x14ac:dyDescent="0.25">
      <c r="A2" s="51" t="s">
        <v>170</v>
      </c>
      <c r="B2" s="50" t="s">
        <v>171</v>
      </c>
      <c r="C2" s="50" t="s">
        <v>172</v>
      </c>
      <c r="D2" s="50" t="s">
        <v>173</v>
      </c>
      <c r="E2" s="50" t="s">
        <v>160</v>
      </c>
      <c r="F2" s="50" t="s">
        <v>174</v>
      </c>
    </row>
    <row r="3" spans="1:6" ht="48" customHeight="1" x14ac:dyDescent="0.25">
      <c r="A3" s="53" t="s">
        <v>175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176</v>
      </c>
      <c r="B18" s="138"/>
      <c r="C18" s="138"/>
      <c r="D18" s="138"/>
      <c r="E18" s="138"/>
      <c r="F18" s="138"/>
    </row>
    <row r="19" spans="1:6" x14ac:dyDescent="0.25">
      <c r="A19" s="83" t="s">
        <v>170</v>
      </c>
      <c r="B19" s="83" t="s">
        <v>171</v>
      </c>
      <c r="C19" s="83" t="s">
        <v>177</v>
      </c>
      <c r="D19" s="83" t="s">
        <v>178</v>
      </c>
      <c r="E19" s="83" t="s">
        <v>160</v>
      </c>
      <c r="F19" s="83" t="s">
        <v>174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179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180</v>
      </c>
      <c r="B2" s="55" t="s">
        <v>181</v>
      </c>
      <c r="C2" s="55" t="s">
        <v>182</v>
      </c>
      <c r="D2" s="55" t="s">
        <v>183</v>
      </c>
      <c r="E2" s="55" t="s">
        <v>184</v>
      </c>
      <c r="F2" s="55" t="s">
        <v>185</v>
      </c>
      <c r="G2" s="55" t="s">
        <v>186</v>
      </c>
      <c r="H2" s="55" t="s">
        <v>16</v>
      </c>
      <c r="I2" s="55" t="s">
        <v>187</v>
      </c>
      <c r="J2" s="55" t="s">
        <v>188</v>
      </c>
      <c r="K2" s="55" t="s">
        <v>189</v>
      </c>
      <c r="L2" s="55" t="s">
        <v>190</v>
      </c>
      <c r="M2" s="55" t="s">
        <v>19</v>
      </c>
      <c r="N2" s="55" t="s">
        <v>191</v>
      </c>
      <c r="O2" s="3"/>
      <c r="P2" s="105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06" t="str">
        <f>[1]!b_info_name(L3)</f>
        <v>19文化科技SCP001</v>
      </c>
      <c r="B3" s="2" t="str">
        <f>[1]!b_issue_firstissue(L3)</f>
        <v>2019-04-19</v>
      </c>
      <c r="C3" s="106">
        <f>[1]!b_info_term(L3)</f>
        <v>0.73970000000000002</v>
      </c>
      <c r="D3" s="107" t="str">
        <f>[1]!issuerrating(L3)</f>
        <v>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 t="str">
        <f>[1]!b_agency_guarantor(L3)</f>
        <v>北京市文化投资发展集团有限责任公司</v>
      </c>
      <c r="H3" s="109" t="s">
        <v>192</v>
      </c>
      <c r="I3" s="65"/>
      <c r="J3" s="110" t="s">
        <v>192</v>
      </c>
      <c r="K3" s="111"/>
      <c r="L3" s="41" t="str">
        <f>公式页!A2</f>
        <v>d19041810.IB</v>
      </c>
      <c r="M3" s="109" t="s">
        <v>192</v>
      </c>
      <c r="N3" s="106" t="str">
        <f>[1]!b_agency_leadunderwriter(L3)</f>
        <v>北京银行股份有限公司,华夏银行股份有限公司</v>
      </c>
      <c r="P3" s="104" t="str">
        <f t="shared" ref="P3:P29" ca="1" si="0">$P$2</f>
        <v>2019-04-17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3.7271000000000001</v>
      </c>
      <c r="K4" s="111">
        <f>K3</f>
        <v>0</v>
      </c>
      <c r="L4" s="4" t="s">
        <v>193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2019-04-17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2019-04-17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2019-04-17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2019-04-17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2019-04-17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2019-04-17</v>
      </c>
    </row>
    <row r="10" spans="1:18" x14ac:dyDescent="0.25">
      <c r="P10" s="104" t="str">
        <f t="shared" ca="1" si="0"/>
        <v>2019-04-17</v>
      </c>
    </row>
    <row r="11" spans="1:18" x14ac:dyDescent="0.25">
      <c r="P11" s="104" t="str">
        <f t="shared" ca="1" si="0"/>
        <v>2019-04-17</v>
      </c>
    </row>
    <row r="12" spans="1:18" x14ac:dyDescent="0.25">
      <c r="A12" s="145" t="s">
        <v>194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2019-04-17</v>
      </c>
    </row>
    <row r="13" spans="1:18" s="1" customFormat="1" ht="43.2" customHeight="1" x14ac:dyDescent="0.25">
      <c r="A13" s="55" t="s">
        <v>180</v>
      </c>
      <c r="B13" s="55" t="s">
        <v>181</v>
      </c>
      <c r="C13" s="55" t="s">
        <v>182</v>
      </c>
      <c r="D13" s="55" t="s">
        <v>183</v>
      </c>
      <c r="E13" s="55" t="s">
        <v>184</v>
      </c>
      <c r="F13" s="55" t="s">
        <v>185</v>
      </c>
      <c r="G13" s="55" t="s">
        <v>186</v>
      </c>
      <c r="H13" s="55" t="s">
        <v>16</v>
      </c>
      <c r="I13" s="55" t="s">
        <v>187</v>
      </c>
      <c r="J13" s="55" t="s">
        <v>188</v>
      </c>
      <c r="K13" s="55" t="s">
        <v>189</v>
      </c>
      <c r="L13" s="55" t="s">
        <v>190</v>
      </c>
      <c r="M13" s="55" t="s">
        <v>19</v>
      </c>
      <c r="N13" s="55" t="s">
        <v>191</v>
      </c>
      <c r="P13" s="104" t="str">
        <f t="shared" ca="1" si="0"/>
        <v>2019-04-17</v>
      </c>
    </row>
    <row r="14" spans="1:18" ht="15.75" customHeight="1" x14ac:dyDescent="0.25">
      <c r="A14" s="106" t="str">
        <f>[1]!b_info_name(L14)</f>
        <v>19文化科技SCP001</v>
      </c>
      <c r="B14" s="2" t="str">
        <f>[1]!b_issue_firstissue(L14)</f>
        <v>2019-04-19</v>
      </c>
      <c r="C14" s="106">
        <f>[1]!b_info_term(L14)</f>
        <v>0.73970000000000002</v>
      </c>
      <c r="D14" s="107" t="str">
        <f>[1]!issuerrating(L14)</f>
        <v>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 t="str">
        <f>[1]!b_agency_guarantor(L14)</f>
        <v>北京市文化投资发展集团有限责任公司</v>
      </c>
      <c r="H14" s="109" t="s">
        <v>192</v>
      </c>
      <c r="I14" s="65"/>
      <c r="J14" s="110" t="s">
        <v>192</v>
      </c>
      <c r="K14" s="111">
        <f>K3</f>
        <v>0</v>
      </c>
      <c r="L14" s="42" t="str">
        <f>L3</f>
        <v>d19041810.IB</v>
      </c>
      <c r="M14" s="109" t="s">
        <v>192</v>
      </c>
      <c r="N14" s="106" t="str">
        <f>[1]!b_agency_leadunderwriter(L14)</f>
        <v>北京银行股份有限公司,华夏银行股份有限公司</v>
      </c>
      <c r="P14" s="104" t="str">
        <f t="shared" ca="1" si="0"/>
        <v>2019-04-17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195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2019-04-17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196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2019-04-17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197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2019-04-17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198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2019-04-17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199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2019-04-17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200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2019-04-17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201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2019-04-17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202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2019-04-17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203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2019-04-17</v>
      </c>
    </row>
    <row r="24" spans="1:16" x14ac:dyDescent="0.25">
      <c r="P24" s="104" t="str">
        <f t="shared" ca="1" si="0"/>
        <v>2019-04-17</v>
      </c>
    </row>
    <row r="25" spans="1:16" x14ac:dyDescent="0.25">
      <c r="P25" s="104" t="str">
        <f t="shared" ca="1" si="0"/>
        <v>2019-04-17</v>
      </c>
    </row>
    <row r="26" spans="1:16" x14ac:dyDescent="0.25">
      <c r="P26" s="104" t="str">
        <f t="shared" ca="1" si="0"/>
        <v>2019-04-17</v>
      </c>
    </row>
    <row r="27" spans="1:16" x14ac:dyDescent="0.25">
      <c r="P27" s="104" t="str">
        <f t="shared" ca="1" si="0"/>
        <v>2019-04-17</v>
      </c>
    </row>
    <row r="28" spans="1:16" x14ac:dyDescent="0.25">
      <c r="P28" s="104" t="str">
        <f t="shared" ca="1" si="0"/>
        <v>2019-04-17</v>
      </c>
    </row>
    <row r="29" spans="1:16" x14ac:dyDescent="0.25">
      <c r="P29" s="104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2019-04-18T07:51:04Z</dcterms:modified>
</cp:coreProperties>
</file>