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9新券信评\"/>
    </mc:Choice>
  </mc:AlternateContent>
  <xr:revisionPtr revIDLastSave="0" documentId="13_ncr:1_{8A25DD57-986F-4D6F-88D4-9843B80FD4B5}"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A23" i="6"/>
  <c r="F22" i="6"/>
  <c r="N21" i="6"/>
  <c r="C21" i="6"/>
  <c r="H20" i="6"/>
  <c r="E19" i="6"/>
  <c r="M18" i="6"/>
  <c r="B18" i="6"/>
  <c r="G17" i="6"/>
  <c r="O16" i="6"/>
  <c r="D16" i="6"/>
  <c r="A15" i="6"/>
  <c r="D14" i="6"/>
  <c r="H9" i="6"/>
  <c r="E8" i="6"/>
  <c r="B7" i="6"/>
  <c r="H6" i="6"/>
  <c r="H5" i="6"/>
  <c r="E4" i="6"/>
  <c r="G3"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H23" i="6"/>
  <c r="E22" i="6"/>
  <c r="M21" i="6"/>
  <c r="B21" i="6"/>
  <c r="G20" i="6"/>
  <c r="O19" i="6"/>
  <c r="D19" i="6"/>
  <c r="A18" i="6"/>
  <c r="F17" i="6"/>
  <c r="N16" i="6"/>
  <c r="C16" i="6"/>
  <c r="H15" i="6"/>
  <c r="C14" i="6"/>
  <c r="N9" i="6"/>
  <c r="E9" i="6"/>
  <c r="B8" i="6"/>
  <c r="G7" i="6"/>
  <c r="N6" i="6"/>
  <c r="G6" i="6"/>
  <c r="N5" i="6"/>
  <c r="E5" i="6"/>
  <c r="B4" i="6"/>
  <c r="D3"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E23" i="6"/>
  <c r="M22" i="6"/>
  <c r="B22" i="6"/>
  <c r="G21" i="6"/>
  <c r="O20" i="6"/>
  <c r="D20" i="6"/>
  <c r="A19" i="6"/>
  <c r="F18" i="6"/>
  <c r="N17" i="6"/>
  <c r="C17" i="6"/>
  <c r="H16" i="6"/>
  <c r="E15" i="6"/>
  <c r="D9" i="6"/>
  <c r="A8" i="6"/>
  <c r="F7" i="6"/>
  <c r="M6" i="6"/>
  <c r="D6" i="6"/>
  <c r="D5" i="6"/>
  <c r="A4" i="6"/>
  <c r="C3"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O23" i="6"/>
  <c r="F21" i="6"/>
  <c r="G16" i="6"/>
  <c r="G14" i="6"/>
  <c r="A9" i="6"/>
  <c r="F4" i="6"/>
  <c r="S135" i="1"/>
  <c r="S127" i="1"/>
  <c r="M118" i="1"/>
  <c r="M111" i="1"/>
  <c r="M103" i="1"/>
  <c r="J101" i="1"/>
  <c r="F100" i="1"/>
  <c r="D99" i="1"/>
  <c r="B98" i="1"/>
  <c r="J97" i="1"/>
  <c r="Q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D23" i="6"/>
  <c r="N20" i="6"/>
  <c r="E18" i="6"/>
  <c r="O15" i="6"/>
  <c r="C7" i="6"/>
  <c r="S141" i="1"/>
  <c r="O134" i="1"/>
  <c r="M121" i="1"/>
  <c r="M117" i="1"/>
  <c r="F102" i="1"/>
  <c r="D101" i="1"/>
  <c r="B100" i="1"/>
  <c r="Q98" i="1"/>
  <c r="Q97" i="1"/>
  <c r="F97" i="1"/>
  <c r="O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20" i="6"/>
  <c r="M17" i="6"/>
  <c r="D15" i="6"/>
  <c r="F8" i="6"/>
  <c r="A5" i="6"/>
  <c r="Q2" i="6"/>
  <c r="S139" i="1"/>
  <c r="M133" i="1"/>
  <c r="M129" i="1"/>
  <c r="M120" i="1"/>
  <c r="M116" i="1"/>
  <c r="F110" i="1"/>
  <c r="B102" i="1"/>
  <c r="Q100" i="1"/>
  <c r="O99" i="1"/>
  <c r="M98" i="1"/>
  <c r="O97" i="1"/>
  <c r="D97"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A22" i="6"/>
  <c r="S137" i="1"/>
  <c r="M119" i="1"/>
  <c r="J99" i="1"/>
  <c r="L96" i="1"/>
  <c r="E94" i="1"/>
  <c r="G91" i="1"/>
  <c r="C89" i="1"/>
  <c r="E86" i="1"/>
  <c r="G83" i="1"/>
  <c r="C81" i="1"/>
  <c r="E78" i="1"/>
  <c r="G75" i="1"/>
  <c r="C73" i="1"/>
  <c r="E70" i="1"/>
  <c r="G67" i="1"/>
  <c r="C65" i="1"/>
  <c r="E62" i="1"/>
  <c r="G59" i="1"/>
  <c r="C57" i="1"/>
  <c r="E54" i="1"/>
  <c r="G51" i="1"/>
  <c r="C49" i="1"/>
  <c r="E46" i="1"/>
  <c r="G43" i="1"/>
  <c r="C41" i="1"/>
  <c r="G39" i="1"/>
  <c r="E38" i="1"/>
  <c r="C37" i="1"/>
  <c r="G35" i="1"/>
  <c r="E34" i="1"/>
  <c r="E33" i="1"/>
  <c r="F32" i="1"/>
  <c r="G31" i="1"/>
  <c r="G30" i="1"/>
  <c r="B30" i="1"/>
  <c r="N29" i="1"/>
  <c r="E29" i="1"/>
  <c r="Q28" i="1"/>
  <c r="L28" i="1"/>
  <c r="C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F14" i="1"/>
  <c r="B10" i="1"/>
  <c r="E5" i="1"/>
  <c r="C47" i="1"/>
  <c r="F38" i="1"/>
  <c r="B36" i="1"/>
  <c r="G32" i="1"/>
  <c r="C31" i="1"/>
  <c r="R28" i="1"/>
  <c r="P27" i="1"/>
  <c r="R26" i="1"/>
  <c r="C26" i="1"/>
  <c r="E25" i="1"/>
  <c r="G24" i="1"/>
  <c r="P23" i="1"/>
  <c r="P21" i="1"/>
  <c r="R20" i="1"/>
  <c r="C20" i="1"/>
  <c r="E19" i="1"/>
  <c r="C18" i="1"/>
  <c r="E17" i="1"/>
  <c r="Q15" i="1"/>
  <c r="B15" i="1"/>
  <c r="D14" i="1"/>
  <c r="B11" i="1"/>
  <c r="E4" i="1"/>
  <c r="H19" i="6"/>
  <c r="S131" i="1"/>
  <c r="F112" i="1"/>
  <c r="Q103" i="1"/>
  <c r="F98" i="1"/>
  <c r="E96" i="1"/>
  <c r="G93" i="1"/>
  <c r="C91" i="1"/>
  <c r="E88" i="1"/>
  <c r="G85" i="1"/>
  <c r="C83" i="1"/>
  <c r="E80" i="1"/>
  <c r="G77" i="1"/>
  <c r="C75" i="1"/>
  <c r="E72" i="1"/>
  <c r="G69" i="1"/>
  <c r="C67" i="1"/>
  <c r="E64" i="1"/>
  <c r="G61" i="1"/>
  <c r="C59" i="1"/>
  <c r="E56" i="1"/>
  <c r="G53" i="1"/>
  <c r="C51" i="1"/>
  <c r="E48" i="1"/>
  <c r="G45" i="1"/>
  <c r="C43" i="1"/>
  <c r="F40" i="1"/>
  <c r="D39" i="1"/>
  <c r="B38" i="1"/>
  <c r="F36" i="1"/>
  <c r="D35" i="1"/>
  <c r="C34" i="1"/>
  <c r="D33" i="1"/>
  <c r="E32" i="1"/>
  <c r="E31" i="1"/>
  <c r="F30" i="1"/>
  <c r="R29" i="1"/>
  <c r="L29" i="1"/>
  <c r="D29" i="1"/>
  <c r="P28" i="1"/>
  <c r="G28" i="1"/>
  <c r="B28"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B14" i="1"/>
  <c r="B8" i="1"/>
  <c r="E52" i="1"/>
  <c r="G33" i="1"/>
  <c r="O29" i="1"/>
  <c r="M28" i="1"/>
  <c r="L27" i="1"/>
  <c r="N26" i="1"/>
  <c r="P25" i="1"/>
  <c r="R24" i="1"/>
  <c r="C24" i="1"/>
  <c r="E23" i="1"/>
  <c r="G22" i="1"/>
  <c r="L21" i="1"/>
  <c r="G20" i="1"/>
  <c r="P19" i="1"/>
  <c r="P17" i="1"/>
  <c r="J16" i="1"/>
  <c r="M15" i="1"/>
  <c r="B7" i="1"/>
  <c r="B17" i="6"/>
  <c r="C6" i="6"/>
  <c r="O128" i="1"/>
  <c r="M109" i="1"/>
  <c r="O101" i="1"/>
  <c r="M97" i="1"/>
  <c r="G95" i="1"/>
  <c r="C93" i="1"/>
  <c r="E90" i="1"/>
  <c r="G87" i="1"/>
  <c r="C85" i="1"/>
  <c r="E82" i="1"/>
  <c r="G79" i="1"/>
  <c r="C77" i="1"/>
  <c r="E74" i="1"/>
  <c r="G71" i="1"/>
  <c r="C69" i="1"/>
  <c r="E66" i="1"/>
  <c r="G63" i="1"/>
  <c r="C61" i="1"/>
  <c r="E58" i="1"/>
  <c r="G55" i="1"/>
  <c r="C53" i="1"/>
  <c r="E50" i="1"/>
  <c r="G47" i="1"/>
  <c r="C45" i="1"/>
  <c r="E42" i="1"/>
  <c r="E40" i="1"/>
  <c r="C39" i="1"/>
  <c r="G37" i="1"/>
  <c r="E36" i="1"/>
  <c r="C35" i="1"/>
  <c r="B34" i="1"/>
  <c r="C33" i="1"/>
  <c r="C32" i="1"/>
  <c r="D31" i="1"/>
  <c r="E30" i="1"/>
  <c r="P29" i="1"/>
  <c r="J29" i="1"/>
  <c r="C29" i="1"/>
  <c r="N28" i="1"/>
  <c r="F28" i="1"/>
  <c r="R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M7" i="6"/>
  <c r="M100" i="1"/>
  <c r="B97" i="1"/>
  <c r="C95" i="1"/>
  <c r="E92" i="1"/>
  <c r="G89" i="1"/>
  <c r="C87" i="1"/>
  <c r="E84" i="1"/>
  <c r="G81" i="1"/>
  <c r="C79" i="1"/>
  <c r="E76" i="1"/>
  <c r="G73" i="1"/>
  <c r="C71" i="1"/>
  <c r="E68" i="1"/>
  <c r="G65" i="1"/>
  <c r="C63" i="1"/>
  <c r="E60" i="1"/>
  <c r="G57" i="1"/>
  <c r="C55" i="1"/>
  <c r="G49" i="1"/>
  <c r="E44" i="1"/>
  <c r="G41" i="1"/>
  <c r="B40" i="1"/>
  <c r="D37" i="1"/>
  <c r="F34" i="1"/>
  <c r="B32" i="1"/>
  <c r="C30" i="1"/>
  <c r="G29" i="1"/>
  <c r="E28" i="1"/>
  <c r="E27" i="1"/>
  <c r="G26" i="1"/>
  <c r="L25" i="1"/>
  <c r="N24" i="1"/>
  <c r="L23" i="1"/>
  <c r="C22" i="1"/>
  <c r="E21" i="1"/>
  <c r="N20" i="1"/>
  <c r="L19" i="1"/>
  <c r="G18" i="1"/>
  <c r="L17" i="1"/>
  <c r="D16" i="1"/>
  <c r="F15" i="1"/>
  <c r="B9" i="1"/>
  <c r="B109" i="1" l="1"/>
  <c r="D118" i="1"/>
  <c r="H121" i="1"/>
  <c r="L22" i="1"/>
  <c r="H127" i="1"/>
  <c r="M22" i="1"/>
  <c r="B112" i="1"/>
  <c r="B119" i="1"/>
  <c r="B123" i="1"/>
  <c r="H129" i="1"/>
  <c r="P2" i="6"/>
  <c r="O22" i="1"/>
  <c r="D124" i="1"/>
  <c r="H131" i="1"/>
  <c r="J22" i="1"/>
  <c r="Q22" i="1"/>
  <c r="B111" i="1"/>
  <c r="H117" i="1"/>
  <c r="H125" i="1"/>
  <c r="N22" i="1"/>
  <c r="R22" i="1"/>
  <c r="H109" i="1"/>
  <c r="H111" i="1"/>
  <c r="H118" i="1"/>
  <c r="D119" i="1"/>
  <c r="B120" i="1"/>
  <c r="B122" i="1"/>
  <c r="D123" i="1"/>
  <c r="H124" i="1"/>
  <c r="B126" i="1"/>
  <c r="B128" i="1"/>
  <c r="B130" i="1"/>
  <c r="B110" i="1"/>
  <c r="H112" i="1"/>
  <c r="B117" i="1"/>
  <c r="H119" i="1"/>
  <c r="D120" i="1"/>
  <c r="B121" i="1"/>
  <c r="D122" i="1"/>
  <c r="H123" i="1"/>
  <c r="B125" i="1"/>
  <c r="H126" i="1"/>
  <c r="H128" i="1"/>
  <c r="H130" i="1"/>
  <c r="P22" i="1"/>
  <c r="H110" i="1"/>
  <c r="D117" i="1"/>
  <c r="B118" i="1"/>
  <c r="H120" i="1"/>
  <c r="D121" i="1"/>
  <c r="H122" i="1"/>
  <c r="B124" i="1"/>
  <c r="D125" i="1"/>
  <c r="B127" i="1"/>
  <c r="B129" i="1"/>
  <c r="B131" i="1"/>
  <c r="J4" i="6"/>
  <c r="P29" i="6" l="1"/>
  <c r="P25" i="6"/>
  <c r="P21" i="6"/>
  <c r="P17" i="6"/>
  <c r="P11" i="6"/>
  <c r="P7" i="6"/>
  <c r="P3" i="6"/>
  <c r="P28" i="6"/>
  <c r="P24" i="6"/>
  <c r="P20" i="6"/>
  <c r="P16" i="6"/>
  <c r="P10" i="6"/>
  <c r="P6" i="6"/>
  <c r="P27" i="6"/>
  <c r="P19" i="6"/>
  <c r="P9" i="6"/>
  <c r="P8" i="6"/>
  <c r="P5" i="6"/>
  <c r="P4" i="6"/>
  <c r="P26" i="6"/>
  <c r="P22" i="6"/>
  <c r="P14" i="6"/>
  <c r="P23" i="6"/>
  <c r="P15" i="6"/>
  <c r="P13" i="6"/>
  <c r="P18" i="6"/>
  <c r="P12" i="6"/>
  <c r="J23" i="6"/>
  <c r="J5" i="6"/>
  <c r="J18" i="6"/>
  <c r="J21" i="6"/>
  <c r="J6" i="6"/>
  <c r="J9" i="6"/>
  <c r="J16" i="6"/>
  <c r="J19" i="6"/>
  <c r="J17" i="6"/>
  <c r="J8" i="6"/>
  <c r="J15" i="6"/>
  <c r="J22" i="6"/>
  <c r="J7" i="6"/>
  <c r="J20" i="6"/>
</calcChain>
</file>

<file path=xl/sharedStrings.xml><?xml version="1.0" encoding="utf-8"?>
<sst xmlns="http://schemas.openxmlformats.org/spreadsheetml/2006/main" count="473" uniqueCount="222">
  <si>
    <t>q19041605.IB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</si>
  <si>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</si>
  <si>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</si>
  <si>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</si>
  <si>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</si>
  <si>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</si>
  <si>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</si>
  <si>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</si>
  <si>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</si>
  <si>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</si>
  <si>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</si>
  <si>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</si>
  <si>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</si>
  <si>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</si>
  <si>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</si>
  <si>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</si>
  <si>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</si>
  <si>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</si>
  <si>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</si>
  <si>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</si>
  <si>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</si>
  <si>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</si>
  <si>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</si>
  <si>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031553006.IB</t>
  </si>
  <si>
    <t>主体级别</t>
  </si>
  <si>
    <t>AA+</t>
  </si>
  <si>
    <t>101684001.IB</t>
  </si>
  <si>
    <t>*选择性黏贴</t>
  </si>
  <si>
    <t>041454011.IB</t>
  </si>
  <si>
    <t>数据年度</t>
  </si>
  <si>
    <t>2017年</t>
  </si>
  <si>
    <t>041469036.IB</t>
  </si>
  <si>
    <t>总资产</t>
  </si>
  <si>
    <t>101564042.IB</t>
  </si>
  <si>
    <t>负债率</t>
  </si>
  <si>
    <t>122596.SH</t>
  </si>
  <si>
    <t>流动比率</t>
  </si>
  <si>
    <t>101462016.IB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</si>
  <si>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</si>
  <si>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</si>
  <si>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</si>
  <si>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</si>
  <si>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</si>
  <si>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</si>
  <si>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</si>
  <si>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</si>
  <si>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</si>
  <si>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</si>
  <si>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</si>
  <si>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</si>
  <si>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</si>
  <si>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</si>
  <si>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</si>
  <si>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</si>
  <si>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</si>
  <si>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</si>
  <si>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</si>
  <si>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</si>
  <si>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</si>
  <si>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</si>
  <si>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</si>
  <si>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</si>
  <si>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</si>
  <si>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</si>
  <si>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</si>
  <si>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</si>
  <si>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</si>
  <si>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</si>
  <si>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</si>
  <si>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</si>
  <si>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</si>
  <si>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</si>
  <si>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</si>
  <si>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</si>
  <si>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</si>
  <si>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</si>
  <si>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</si>
  <si>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</si>
  <si>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</si>
  <si>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</si>
  <si>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</si>
  <si>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</si>
  <si>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</si>
  <si>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</si>
  <si>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</si>
  <si>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</si>
  <si>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</si>
  <si>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</si>
  <si>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</si>
  <si>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</si>
  <si>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</si>
  <si>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</si>
  <si>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</si>
  <si>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</si>
  <si>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</si>
  <si>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</si>
  <si>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</si>
  <si>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</si>
  <si>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</si>
  <si>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</si>
  <si>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</si>
  <si>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</si>
  <si>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</si>
  <si>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</si>
  <si>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</si>
  <si>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</si>
  <si>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</si>
  <si>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</si>
  <si>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</si>
  <si>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</si>
  <si>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</si>
  <si>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</si>
  <si>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</si>
  <si>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</si>
  <si>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</si>
  <si>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</si>
  <si>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</si>
  <si>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</si>
  <si>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</si>
  <si>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</si>
  <si>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</si>
  <si>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031659011.IB</t>
  </si>
  <si>
    <t>20160310</t>
  </si>
  <si>
    <t>16浙交建设PPN001</t>
  </si>
  <si>
    <t>031559043.IB</t>
  </si>
  <si>
    <t>20151217</t>
  </si>
  <si>
    <t>15浙江交工PPN001</t>
  </si>
  <si>
    <t>历史主体评级</t>
  </si>
  <si>
    <t>发布日期</t>
  </si>
  <si>
    <t>主体资信级别</t>
  </si>
  <si>
    <t>评级展望</t>
  </si>
  <si>
    <t>评级机构</t>
  </si>
  <si>
    <t>20180925</t>
  </si>
  <si>
    <t>稳定</t>
  </si>
  <si>
    <t>上海新世纪资信评估投资服务有限公司</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</si>
  <si>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</si>
  <si>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</si>
  <si>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</si>
  <si>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</si>
  <si>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</si>
  <si>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</si>
  <si>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</si>
  <si>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</si>
  <si>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</si>
  <si>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</si>
  <si>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福建建工集团有限责任公司</t>
  </si>
  <si>
    <t>AA正面上调至AA+稳定</t>
  </si>
  <si>
    <t>中诚信国际信用评级有限责任公司</t>
  </si>
  <si>
    <t>福建省政府对于公司支持力度大，项目承揽及合同质量持续提升。近年来，公司通过拓展建筑业新兴的EPC、PPP等业务模式，实现了产业链的纵向延伸。公司率先在福建省投资建成了装配式建筑生产基地，成为省内少数具备建筑预制件自主生产能力的施工企业之一。公司控股的中国武夷，其北京武夷项目开发价值高，未来有望提升公司整体经营业绩，改善资本结构。此外，公司流动性储备充足。</t>
  </si>
  <si>
    <t>中国建筑股份有限公司</t>
  </si>
  <si>
    <t>A2负面上调至A2稳定</t>
  </si>
  <si>
    <t>穆迪公司(MOODYS)</t>
  </si>
  <si>
    <t>中国新兴集团有限责任公司</t>
  </si>
  <si>
    <t>AA+负面上调至AA+稳定</t>
  </si>
  <si>
    <t>跟踪期内通用技术集团对该公司现金增资12亿元，将通用土地无偿划入公司，公司资本实力大幅增强，财务杠杆水平有所下降；同时公司建筑施工主业发展良好，并持续压缩大宗商品贸易业务，当年经营活动现金净流入大幅增加，建筑施工主业在手合同额较充足，未来发展较有保障。</t>
  </si>
  <si>
    <t>山西路桥建设集团有限公司</t>
  </si>
  <si>
    <t>AA稳定上调至AA+稳定</t>
  </si>
  <si>
    <t>东方金诚国际信用评估有限公司</t>
  </si>
  <si>
    <t>公司是山西省唯一一家拥有公路施工总承包特级资质的企业，施工设备和技术先进，具有较丰富的项目经验，跟踪期内在山西省路桥建设领域仍保持主导地位；跟踪期内受益于公路施工业务新开工路段增多、高速公路收费业务运营良好及新并入合并范围的化工产品业务收入增加，公司营业收入和毛利润均大幅增长；2017 年公司总承包和BOT 项目新签合同额保持增长，其中BOT 项目新签合同额增长显著；2017 年受新增榆和高速收费及周边路段整修导致车流流入影响，公司年高速公路收费业务收入和毛利润均保持较快增长，未来随着转入运营阶段的完工项目增多，高速公路收费业务将成为公司收入和利润的重要组成部分；公司是山西省重要的高速公路投资运营主体，经营和发展能够得到山西省政府的大力支持。</t>
  </si>
  <si>
    <t>江苏南通二建集团有限公司</t>
  </si>
  <si>
    <t>联合资信评估有限公司</t>
  </si>
  <si>
    <t>公司积极推进业务结构优化，由单一住宅类工程承包向市政、能源设施等综合建筑类工程拓展延伸；主营业务经营状况良好，资产规模不断增长，项目储备充足且逐年提升。未来随着城市化建设发展需求的增长、公司国内外业务区域的不断拓展，公司业务规模有望持续增长，将对收入及利润规模形成良好支撑。</t>
  </si>
  <si>
    <t>广东省建筑工程集团有限公司</t>
  </si>
  <si>
    <t>AA+稳定上调至AAA稳定</t>
  </si>
  <si>
    <t>跟踪期内，公司通过与广东省水电集团有限公司（的重组合并，在广东省建筑施工行业内竞争力有所提高，业务规模显著扩张，资产和权益规模大幅增长，区域职能定位更加明确。</t>
  </si>
  <si>
    <t>江苏南通三建集团股份有限公</t>
  </si>
  <si>
    <t>大公国际资信评估有限公司</t>
  </si>
  <si>
    <t>2017年以来，公司新签合同额稳步提升，期末项目储备较为充足，为未来的可持续发展奠定了良好基础；同时，公司利润总额保持增长，盈利能力仍较强，为其增强抗风险能力、改善偿债能力提供较有力保障。</t>
  </si>
  <si>
    <t>中电建路桥集团有限公司</t>
  </si>
  <si>
    <t>基于在我国城镇化建设提速及PPP业务模式快速发展的背景下，公司基础设施建设业务快速发展，控股股东实力雄厚且对其支持力度持续提升，2017年以来公司新签合同额保持较大规模业绩储备充足、项目质量优，盈利能力亦有所提升；此外良好的银企关系也对其整体信用实力祈祷有力支撑。</t>
  </si>
  <si>
    <t>中交第二航务工程局有限公司</t>
  </si>
  <si>
    <t>1，新签合同持续增长；2，融资优势有望进一步显现；3，来自股东的约三有助于公司控制财务风险。</t>
  </si>
  <si>
    <t>近一年来同行业发债企业主体评级下调情况</t>
  </si>
  <si>
    <t>主体资信级别下调</t>
  </si>
  <si>
    <t>主体评级展望下调</t>
  </si>
  <si>
    <t>云南路桥股份有限公司</t>
  </si>
  <si>
    <t>AA-负面下调至A负面</t>
  </si>
  <si>
    <t>受承接施工业务质量下降及不再确认磨思公路项目垫资款利息和延期支付工程款利息影响，2017年营业收入大幅下降，受债务人阳鹿公司破产清算影响，公司对阳鹿公司2.47亿元债券计提减值损失；2017年公司工程施工业务新签合同额和年末在手合同额持续下降，对未来稳定经营构成不利影响；受持续亏损影响公司所有者权益下降幅度较大。</t>
  </si>
  <si>
    <t>腾达建设集团股份有限公司</t>
  </si>
  <si>
    <t>AA-负面下调至AA-稳定</t>
  </si>
  <si>
    <t>鹏元资信评估有限公司</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</si>
  <si>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</si>
  <si>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</si>
  <si>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</si>
  <si>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</si>
  <si>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</si>
  <si>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</si>
  <si>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</si>
  <si>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</si>
  <si>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</si>
  <si>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</si>
  <si>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</si>
  <si>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</si>
  <si>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</si>
  <si>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</si>
  <si>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</si>
  <si>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</si>
  <si>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</si>
  <si>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</si>
  <si>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</si>
  <si>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</si>
  <si>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</si>
  <si>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</si>
  <si>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</si>
  <si>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</si>
  <si>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</si>
  <si>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浙江交工集团股份有限公司</t>
  </si>
  <si>
    <t>地方国有企业</t>
  </si>
  <si>
    <t>工业--资本货物--建筑与工程Ⅲ--建筑与工程</t>
  </si>
  <si>
    <t>浙江省杭州市滨江区江陵路2031号钱江大厦</t>
  </si>
  <si>
    <t>浙江交工集团股份有限公司(以下简称浙江交工)前身1953年5月成立的华东第二公路工程纵队及机构改革形成的省交通厅公路局所属工程队，2001年11月成为浙江省交通投资集团有限公司下属子公司，2016年8月正式改制成为股份有限公司，是一家具有国家公路工程施工总承包特级资质，公路行业设计甲级资质，市政公用工程施工总承包壹级，港口与航道工程施工总承包贰级，公路路面、桥梁、隧道工程专业承包壹级，工程咨询乙级，试验检测乙级，以及城市轨道交通工程、交通安全设施、高等级公路养护等专业承包资质的综合交通工程施工企业。</t>
  </si>
  <si>
    <t>浙江交通科技股份有限公司</t>
  </si>
  <si>
    <t>浙江江山化工有限公司</t>
  </si>
  <si>
    <t/>
  </si>
  <si>
    <t>安徽省外经建设(集团)有限公司</t>
  </si>
  <si>
    <t>中国水利水电第七工程局有限公司</t>
  </si>
  <si>
    <t>北京建工集团有限责任公司</t>
  </si>
  <si>
    <t>江苏南通三建集团股份有限公司</t>
  </si>
  <si>
    <t>上海城开(集团)有限公司</t>
  </si>
  <si>
    <t>四川华西集团有限公司</t>
  </si>
  <si>
    <t>民营企业</t>
  </si>
  <si>
    <t>中央国有企业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</si>
</sst>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9">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5" customWidth="1"/>
    <col min="2" max="2" width="17" style="17" customWidth="1"/>
    <col min="3" max="3" width="15.109375" style="17" customWidth="1"/>
    <col min="4" max="4" width="15.44140625" style="55" customWidth="1"/>
    <col min="5" max="5" width="15.88671875" style="55" customWidth="1"/>
    <col min="6" max="6" width="15.6640625" style="55" customWidth="1"/>
    <col min="7" max="7" width="14.88671875" style="55" customWidth="1"/>
    <col min="8" max="8" width="14.21875" style="55" customWidth="1"/>
    <col min="9" max="9" width="15.6640625" style="55" customWidth="1"/>
    <col min="10" max="10" width="14.77734375" style="55" customWidth="1"/>
    <col min="11" max="11" width="11.88671875" style="55" customWidth="1"/>
    <col min="12" max="12" width="11.77734375" style="55" customWidth="1"/>
    <col min="13" max="13" width="11.88671875" style="55" customWidth="1"/>
    <col min="14" max="14" width="12.33203125" style="55" customWidth="1"/>
    <col min="15" max="15" width="13.44140625" style="55" customWidth="1"/>
    <col min="16" max="16" width="11.6640625" style="55" customWidth="1"/>
    <col min="17" max="17" width="10.6640625" style="55" customWidth="1"/>
    <col min="18" max="18" width="10.88671875" style="55" customWidth="1"/>
  </cols>
  <sheetData>
    <row r="2" spans="1:20" x14ac:dyDescent="0.25">
      <c r="A2" s="38" t="s">
        <v>0</v>
      </c>
      <c r="B2" s="18">
        <v>43100</v>
      </c>
    </row>
    <row r="3" spans="1:20" s="17" customFormat="1" ht="10.8" x14ac:dyDescent="0.25">
      <c r="A3" s="115" t="s">
        <v>1</v>
      </c>
      <c r="B3" s="116"/>
      <c r="C3" s="116"/>
      <c r="D3" s="116"/>
      <c r="E3" s="116"/>
      <c r="F3" s="116"/>
      <c r="G3" s="116"/>
    </row>
    <row r="4" spans="1:20" s="17" customFormat="1" ht="13.5" customHeight="1" x14ac:dyDescent="0.25">
      <c r="A4" s="56" t="s">
        <v>2</v>
      </c>
      <c r="B4" s="117" t="str">
        <f>[1]!b_info_issuerupdated(A2)</f>
        <v>浙江交工集团股份有限公司</v>
      </c>
      <c r="C4" s="118"/>
      <c r="D4" s="56" t="s">
        <v>3</v>
      </c>
      <c r="E4" s="117" t="str">
        <f>[1]!s_info_nature(A2)</f>
        <v>地方国有企业</v>
      </c>
      <c r="F4" s="118"/>
      <c r="G4" s="118"/>
      <c r="H4" s="19"/>
    </row>
    <row r="5" spans="1:20" s="17" customFormat="1" ht="14.25" customHeight="1" x14ac:dyDescent="0.25">
      <c r="A5" s="56" t="s">
        <v>4</v>
      </c>
      <c r="B5" s="117" t="str">
        <f>[1]!b_issuer_windindustry(A2,9)</f>
        <v>工业--资本货物--建筑与工程Ⅲ--建筑与工程</v>
      </c>
      <c r="C5" s="118"/>
      <c r="D5" s="56" t="s">
        <v>5</v>
      </c>
      <c r="E5" s="117" t="str">
        <f>[1]!b_issuer_regaddress(A2)</f>
        <v>浙江省杭州市滨江区江陵路2031号钱江大厦</v>
      </c>
      <c r="F5" s="118"/>
      <c r="G5" s="118"/>
    </row>
    <row r="6" spans="1:20" s="17" customFormat="1" ht="81" customHeight="1" x14ac:dyDescent="0.25">
      <c r="A6" s="56" t="s">
        <v>6</v>
      </c>
      <c r="B6" s="119" t="str">
        <f>[1]!s_info_briefing(A2)</f>
        <v>浙江交工集团股份有限公司(以下简称浙江交工)前身1953年5月成立的华东第二公路工程纵队及机构改革形成的省交通厅公路局所属工程队，2001年11月成为浙江省交通投资集团有限公司下属子公司，2016年8月正式改制成为股份有限公司，是一家具有国家公路工程施工总承包特级资质，公路行业设计甲级资质，市政公用工程施工总承包壹级，港口与航道工程施工总承包贰级，公路路面、桥梁、隧道工程专业承包壹级，工程咨询乙级，试验检测乙级，以及城市轨道交通工程、交通安全设施、高等级公路养护等专业承包资质的综合交通工程施工企业。</v>
      </c>
      <c r="C6" s="118"/>
      <c r="D6" s="118"/>
      <c r="E6" s="118"/>
      <c r="F6" s="118"/>
      <c r="G6" s="118"/>
    </row>
    <row r="7" spans="1:20" s="17" customFormat="1" x14ac:dyDescent="0.25">
      <c r="A7" s="58" t="s">
        <v>7</v>
      </c>
      <c r="B7" s="120" t="str">
        <f>[1]!b_issuer_shareholder(A2,"",1)</f>
        <v>浙江交通科技股份有限公司</v>
      </c>
      <c r="C7" s="118"/>
      <c r="D7" s="118"/>
      <c r="E7" s="118"/>
      <c r="F7" s="60">
        <f>[1]!b_issuer_propofshareholder($A$2,"",1)%</f>
        <v>0.99989997863769531</v>
      </c>
      <c r="G7" s="59"/>
      <c r="H7" s="20" t="s">
        <v>8</v>
      </c>
      <c r="M7" s="24">
        <v>42004</v>
      </c>
      <c r="N7" s="24">
        <v>42369</v>
      </c>
      <c r="O7" s="24">
        <v>41639</v>
      </c>
      <c r="P7" s="61" t="s">
        <v>9</v>
      </c>
      <c r="Q7" s="61" t="s">
        <v>10</v>
      </c>
      <c r="R7" s="61" t="s">
        <v>11</v>
      </c>
    </row>
    <row r="8" spans="1:20" s="17" customFormat="1" x14ac:dyDescent="0.25">
      <c r="A8" s="58"/>
      <c r="B8" s="120" t="str">
        <f>[1]!b_issuer_shareholder(A2,"",2)</f>
        <v>浙江江山化工有限公司</v>
      </c>
      <c r="C8" s="118"/>
      <c r="D8" s="118"/>
      <c r="E8" s="118"/>
      <c r="F8" s="60">
        <f>[1]!b_issuer_propofshareholder($A$2,"",2)%</f>
        <v>9.9999997764825814E-5</v>
      </c>
      <c r="G8" s="59"/>
      <c r="H8" s="20"/>
      <c r="M8" s="25"/>
      <c r="O8" s="25"/>
      <c r="P8" s="62"/>
    </row>
    <row r="9" spans="1:20" s="17" customFormat="1" x14ac:dyDescent="0.25">
      <c r="A9" s="58"/>
      <c r="B9" s="120">
        <f>[1]!b_issuer_shareholder(A2,"",3)</f>
        <v>0</v>
      </c>
      <c r="C9" s="118"/>
      <c r="D9" s="118"/>
      <c r="E9" s="118"/>
      <c r="F9" s="60">
        <f>[1]!b_issuer_propofshareholder($A$2,"",3)%</f>
        <v>0</v>
      </c>
      <c r="G9" s="59"/>
      <c r="H9" s="20"/>
      <c r="M9" s="25"/>
      <c r="O9" s="25"/>
      <c r="P9" s="62"/>
    </row>
    <row r="10" spans="1:20" s="17" customFormat="1" x14ac:dyDescent="0.25">
      <c r="A10" s="58"/>
      <c r="B10" s="120">
        <f>[1]!b_issuer_shareholder(A2,"",4)</f>
        <v>0</v>
      </c>
      <c r="C10" s="118"/>
      <c r="D10" s="118"/>
      <c r="E10" s="118"/>
      <c r="F10" s="60">
        <f>[1]!b_issuer_propofshareholder($A$2,"",4)%</f>
        <v>0</v>
      </c>
      <c r="G10" s="59"/>
      <c r="H10" s="20"/>
      <c r="M10" s="25"/>
      <c r="O10" s="25"/>
      <c r="P10" s="62"/>
    </row>
    <row r="11" spans="1:20" s="17" customFormat="1" x14ac:dyDescent="0.25">
      <c r="A11" s="58"/>
      <c r="B11" s="120">
        <f>[1]!b_issuer_shareholder(A2,"",5)</f>
        <v>0</v>
      </c>
      <c r="C11" s="118"/>
      <c r="D11" s="118"/>
      <c r="E11" s="118"/>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q19041605.IB</v>
      </c>
      <c r="K14" s="26"/>
      <c r="L14" s="27" t="str">
        <f>T15</f>
        <v>031553006.IB</v>
      </c>
      <c r="M14" s="27" t="str">
        <f>T16</f>
        <v>101684001.IB</v>
      </c>
      <c r="N14" s="27" t="str">
        <f>T17</f>
        <v>041454011.IB</v>
      </c>
      <c r="O14" s="27" t="str">
        <f>T18</f>
        <v>041469036.IB</v>
      </c>
      <c r="P14" s="27" t="str">
        <f>T19</f>
        <v>101564042.IB</v>
      </c>
      <c r="Q14" s="27" t="str">
        <f>T20</f>
        <v>122596.SH</v>
      </c>
      <c r="R14" s="5" t="str">
        <f>T21</f>
        <v>101462016.IB</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3" t="s">
        <v>22</v>
      </c>
      <c r="J15" s="8" t="str">
        <f>[1]!b_info_issuer(J14)</f>
        <v>浙江交工集团股份有限公司</v>
      </c>
      <c r="K15" s="136"/>
      <c r="L15" s="8" t="str">
        <f>[1]!b_info_issuer(L14)</f>
        <v>江苏南通二建集团有限公司</v>
      </c>
      <c r="M15" s="8" t="str">
        <f>[1]!b_info_issuer(M14)</f>
        <v>安徽省外经建设(集团)有限公司</v>
      </c>
      <c r="N15" s="8" t="str">
        <f>[1]!b_info_issuer(N14)</f>
        <v>中国水利水电第七工程局有限公司</v>
      </c>
      <c r="O15" s="8" t="str">
        <f>[1]!b_info_issuer(O14)</f>
        <v>北京建工集团有限责任公司</v>
      </c>
      <c r="P15" s="8" t="str">
        <f>[1]!b_info_issuer(P14)</f>
        <v>江苏南通三建集团股份有限公司</v>
      </c>
      <c r="Q15" s="8" t="str">
        <f>[1]!b_info_issuer(Q14)</f>
        <v>上海城开(集团)有限公司</v>
      </c>
      <c r="R15" s="8" t="str">
        <f>[1]!b_info_issuer(R14)</f>
        <v>四川华西集团有限公司</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3" t="s">
        <v>24</v>
      </c>
      <c r="J16" s="65" t="str">
        <f>[1]!b_info_latestissurercreditrating(J14)</f>
        <v>AA+</v>
      </c>
      <c r="K16" s="122"/>
      <c r="L16" s="65" t="s">
        <v>25</v>
      </c>
      <c r="M16" s="65" t="s">
        <v>25</v>
      </c>
      <c r="N16" s="65" t="s">
        <v>25</v>
      </c>
      <c r="O16" s="65" t="s">
        <v>25</v>
      </c>
      <c r="P16" s="65" t="s">
        <v>25</v>
      </c>
      <c r="Q16" s="65" t="s">
        <v>25</v>
      </c>
      <c r="R16" s="65" t="s">
        <v>25</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地方国有企业</v>
      </c>
      <c r="K17" s="122"/>
      <c r="L17" s="66" t="str">
        <f>[1]!s_info_nature(L14)</f>
        <v>民营企业</v>
      </c>
      <c r="M17" s="66" t="str">
        <f>[1]!s_info_nature(M14)</f>
        <v>民营企业</v>
      </c>
      <c r="N17" s="66" t="str">
        <f>[1]!s_info_nature(N14)</f>
        <v>中央国有企业</v>
      </c>
      <c r="O17" s="66" t="str">
        <f>[1]!s_info_nature(O14)</f>
        <v>地方国有企业</v>
      </c>
      <c r="P17" s="66" t="str">
        <f>[1]!s_info_nature(P14)</f>
        <v>民营企业</v>
      </c>
      <c r="Q17" s="66" t="str">
        <f>[1]!s_info_nature(Q14)</f>
        <v>地方国有企业</v>
      </c>
      <c r="R17" s="66" t="str">
        <f>[1]!s_info_nature(R14)</f>
        <v>地方国有企业</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22"/>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3" t="s">
        <v>32</v>
      </c>
      <c r="J19" s="67">
        <f>[1]!b_stm07_bs(J14,74,J13,1)/100000000</f>
        <v>209.39138524669997</v>
      </c>
      <c r="K19" s="122"/>
      <c r="L19" s="67">
        <f>[1]!b_stm07_bs(L14,74,L13,1)/100000000</f>
        <v>497.84970597</v>
      </c>
      <c r="M19" s="67">
        <f>[1]!b_stm07_bs(M14,74,M13,1)/100000000</f>
        <v>367.69004121709997</v>
      </c>
      <c r="N19" s="67">
        <f>[1]!b_stm07_bs(N14,74,N13,1)/100000000</f>
        <v>317.6184151535</v>
      </c>
      <c r="O19" s="67">
        <f>[1]!b_stm07_bs(O14,74,O13,1)/100000000</f>
        <v>666.46489170799998</v>
      </c>
      <c r="P19" s="67">
        <f>[1]!b_stm07_bs(P14,74,P13,1)/100000000</f>
        <v>276.10626915</v>
      </c>
      <c r="Q19" s="67">
        <f>[1]!b_stm07_bs(Q14,74,Q13,1)/100000000</f>
        <v>270.34709964119997</v>
      </c>
      <c r="R19" s="67">
        <f>[1]!b_stm07_bs(R14,74,R13,1)/100000000</f>
        <v>492.99935025739995</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3" t="s">
        <v>34</v>
      </c>
      <c r="J20" s="10">
        <f>[1]!s_fa_debttoassets(J14,J13)/100</f>
        <v>0.88244900000000004</v>
      </c>
      <c r="K20" s="122"/>
      <c r="L20" s="10">
        <f>[1]!s_fa_debttoassets(L14,L13)/100</f>
        <v>0.76867300000000005</v>
      </c>
      <c r="M20" s="10">
        <f>[1]!s_fa_debttoassets(M14,M13)/100</f>
        <v>0.39905400000000002</v>
      </c>
      <c r="N20" s="10">
        <f>[1]!s_fa_debttoassets(N14,N13)/100</f>
        <v>0.79793599999999998</v>
      </c>
      <c r="O20" s="10">
        <f>[1]!s_fa_debttoassets(O14,O13)/100</f>
        <v>0.84159000000000006</v>
      </c>
      <c r="P20" s="10">
        <f>[1]!s_fa_debttoassets(P14,P13)/100</f>
        <v>0.69523100000000004</v>
      </c>
      <c r="Q20" s="10">
        <f>[1]!s_fa_debttoassets(Q14,Q13)/100</f>
        <v>0.63966699999999999</v>
      </c>
      <c r="R20" s="10">
        <f>[1]!s_fa_debttoassets(R14,R13)/100</f>
        <v>0.82645799999999991</v>
      </c>
      <c r="T20" s="6" t="s">
        <v>35</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3" t="s">
        <v>36</v>
      </c>
      <c r="J21" s="67">
        <f>[1]!s_fa_current(J14,J13)</f>
        <v>1.0042</v>
      </c>
      <c r="K21" s="122"/>
      <c r="L21" s="67">
        <f>[1]!s_fa_current(L14,L13)</f>
        <v>1.3344</v>
      </c>
      <c r="M21" s="67">
        <f>[1]!s_fa_current(M14,M13)</f>
        <v>1.7282999999999999</v>
      </c>
      <c r="N21" s="67">
        <f>[1]!s_fa_current(N14,N13)</f>
        <v>1.0226</v>
      </c>
      <c r="O21" s="67">
        <f>[1]!s_fa_current(O14,O13)</f>
        <v>1.1882999999999999</v>
      </c>
      <c r="P21" s="67">
        <f>[1]!s_fa_current(P14,P13)</f>
        <v>2.0234000000000001</v>
      </c>
      <c r="Q21" s="67">
        <f>[1]!s_fa_current(Q14,Q13)</f>
        <v>2.0947</v>
      </c>
      <c r="R21" s="67">
        <f>[1]!s_fa_current(R14,R13)</f>
        <v>1.1611</v>
      </c>
      <c r="T21" s="6" t="s">
        <v>37</v>
      </c>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3" t="s">
        <v>38</v>
      </c>
      <c r="J22" s="65">
        <f>(J96+J97+J98+J99+J100+J101)/J103</f>
        <v>2.0724455735616822</v>
      </c>
      <c r="K22" s="122"/>
      <c r="L22" s="65">
        <f>(公式页!L96+公式页!L97+公式页!L98+公式页!L99+公式页!L100+公式页!L101)/公式页!L103</f>
        <v>0.56458343068774852</v>
      </c>
      <c r="M22" s="65">
        <f t="shared" ref="M22:R22" si="0">(M96+M97+M98+M99+M100+M101)/M103</f>
        <v>0.6086691199434614</v>
      </c>
      <c r="N22" s="65">
        <f t="shared" si="0"/>
        <v>1.2965891639230036</v>
      </c>
      <c r="O22" s="65">
        <f t="shared" si="0"/>
        <v>3.1980867978813179</v>
      </c>
      <c r="P22" s="65">
        <f t="shared" si="0"/>
        <v>1.2766877188514207</v>
      </c>
      <c r="Q22" s="65">
        <f t="shared" si="0"/>
        <v>0.7607614252640863</v>
      </c>
      <c r="R22" s="65">
        <f t="shared" si="0"/>
        <v>1.3446778461922579</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3" t="s">
        <v>39</v>
      </c>
      <c r="J23" s="67">
        <f>[1]!s_fa_ebitdatodebt(J14,J13)</f>
        <v>6.0900000000000003E-2</v>
      </c>
      <c r="K23" s="122"/>
      <c r="L23" s="67">
        <f>[1]!s_fa_ebitdatodebt(L14,L13)</f>
        <v>3.1E-2</v>
      </c>
      <c r="M23" s="67">
        <f>[1]!s_fa_ebitdatodebt(M14,M13)</f>
        <v>0.26650000000000001</v>
      </c>
      <c r="N23" s="67">
        <f>[1]!s_fa_ebitdatodebt(N14,N13)</f>
        <v>5.8999999999999997E-2</v>
      </c>
      <c r="O23" s="67">
        <f>[1]!s_fa_ebitdatodebt(O14,O13)</f>
        <v>3.0499999999999999E-2</v>
      </c>
      <c r="P23" s="67">
        <f>[1]!s_fa_ebitdatodebt(P14,P13)</f>
        <v>0.12180000000000001</v>
      </c>
      <c r="Q23" s="67">
        <f>[1]!s_fa_ebitdatodebt(Q14,Q13)</f>
        <v>9.8100000000000007E-2</v>
      </c>
      <c r="R23" s="67">
        <f>[1]!s_fa_ebitdatodebt(R14,R13)</f>
        <v>4.1599999999999998E-2</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3" t="s">
        <v>40</v>
      </c>
      <c r="J24" s="67">
        <f>[1]!b_stm07_is(J14,9,J13,1)/100000000</f>
        <v>158.28077026299999</v>
      </c>
      <c r="K24" s="122"/>
      <c r="L24" s="67">
        <f>[1]!b_stm07_is(L14,9,L13,1)/100000000</f>
        <v>291.93474149240001</v>
      </c>
      <c r="M24" s="67">
        <f>[1]!b_stm07_is(M14,9,M13,1)/100000000</f>
        <v>91.227972054299997</v>
      </c>
      <c r="N24" s="67">
        <f>[1]!b_stm07_is(N14,9,N13,1)/100000000</f>
        <v>205.35821792109999</v>
      </c>
      <c r="O24" s="67">
        <f>[1]!b_stm07_is(O14,9,O13,1)/100000000</f>
        <v>418.21845173999998</v>
      </c>
      <c r="P24" s="67">
        <f>[1]!b_stm07_is(P14,9,P13,1)/100000000</f>
        <v>207.59348250299999</v>
      </c>
      <c r="Q24" s="67">
        <f>[1]!b_stm07_is(Q14,9,Q13,1)/100000000</f>
        <v>50.730675980200004</v>
      </c>
      <c r="R24" s="67">
        <f>[1]!b_stm07_is(R14,9,R13,1)/100000000</f>
        <v>502.27370637929999</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41</v>
      </c>
      <c r="J25" s="11">
        <f>[1]!s_fa_salescashintoor(J14,J13)%</f>
        <v>0.82969999999999999</v>
      </c>
      <c r="K25" s="122"/>
      <c r="L25" s="11">
        <f>[1]!s_fa_salescashintoor(L14,L13)%</f>
        <v>1.0214000000000001</v>
      </c>
      <c r="M25" s="11">
        <f>[1]!s_fa_salescashintoor(M14,M13)%</f>
        <v>1.0204</v>
      </c>
      <c r="N25" s="11">
        <f>[1]!s_fa_salescashintoor(N14,N13)%</f>
        <v>0.92749999999999999</v>
      </c>
      <c r="O25" s="11">
        <f>[1]!s_fa_salescashintoor(O14,O13)%</f>
        <v>0.93899999999999995</v>
      </c>
      <c r="P25" s="11">
        <f>[1]!s_fa_salescashintoor(P14,P13)%</f>
        <v>0.99319999999999997</v>
      </c>
      <c r="Q25" s="11">
        <f>[1]!s_fa_salescashintoor(Q14,Q13)%</f>
        <v>0.79820000000000002</v>
      </c>
      <c r="R25" s="11">
        <f>[1]!s_fa_salescashintoor(R14,R13)%</f>
        <v>1.0082</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42</v>
      </c>
      <c r="J26" s="11">
        <f>[1]!s_fa_grossprofitmargin(J14,J13)%</f>
        <v>8.108499999999999E-2</v>
      </c>
      <c r="K26" s="122"/>
      <c r="L26" s="11">
        <f>[1]!s_fa_grossprofitmargin(L14,L13)%</f>
        <v>5.9711E-2</v>
      </c>
      <c r="M26" s="11">
        <f>[1]!s_fa_grossprofitmargin(M14,M13)%</f>
        <v>0.48618699999999998</v>
      </c>
      <c r="N26" s="11">
        <f>[1]!s_fa_grossprofitmargin(N14,N13)%</f>
        <v>0.10917500000000001</v>
      </c>
      <c r="O26" s="11">
        <f>[1]!s_fa_grossprofitmargin(O14,O13)%</f>
        <v>0.103378</v>
      </c>
      <c r="P26" s="11">
        <f>[1]!s_fa_grossprofitmargin(P14,P13)%</f>
        <v>0.11232300000000001</v>
      </c>
      <c r="Q26" s="11">
        <f>[1]!s_fa_grossprofitmargin(Q14,Q13)%</f>
        <v>0.55677900000000002</v>
      </c>
      <c r="R26" s="11">
        <f>[1]!s_fa_grossprofitmargin(R14,R13)%</f>
        <v>6.8690000000000001E-2</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43</v>
      </c>
      <c r="J27" s="68">
        <f>[1]!b_stm07_is(J14,60,J13,1)/100000000</f>
        <v>6.1462208721000007</v>
      </c>
      <c r="K27" s="122"/>
      <c r="L27" s="68">
        <f>[1]!b_stm07_is(L14,60,L13,1)/100000000</f>
        <v>8.0968784081000003</v>
      </c>
      <c r="M27" s="68">
        <f>[1]!b_stm07_is(M14,60,M13,1)/100000000</f>
        <v>23.488013381199998</v>
      </c>
      <c r="N27" s="68">
        <f>[1]!b_stm07_is(N14,60,N13,1)/100000000</f>
        <v>6.3652337204</v>
      </c>
      <c r="O27" s="68">
        <f>[1]!b_stm07_is(O14,60,O13,1)/100000000</f>
        <v>5.8280727723000005</v>
      </c>
      <c r="P27" s="68">
        <f>[1]!b_stm07_is(P14,60,P13,1)/100000000</f>
        <v>13.977235972599999</v>
      </c>
      <c r="Q27" s="68">
        <f>[1]!b_stm07_is(Q14,60,Q13,1)/100000000</f>
        <v>12.448949281500001</v>
      </c>
      <c r="R27" s="68">
        <f>[1]!b_stm07_is(R14,60,R13,1)/100000000</f>
        <v>6.1785469875999999</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44</v>
      </c>
      <c r="I28" s="53" t="s">
        <v>45</v>
      </c>
      <c r="J28" s="10">
        <f>[1]!s_fa_roe(J14,J13)%</f>
        <v>0.27393800000000001</v>
      </c>
      <c r="K28" s="122"/>
      <c r="L28" s="10">
        <f>[1]!s_fa_roe(L14,L13)%</f>
        <v>7.2689000000000004E-2</v>
      </c>
      <c r="M28" s="10">
        <f>[1]!s_fa_roe(M14,M13)%</f>
        <v>7.1392999999999998E-2</v>
      </c>
      <c r="N28" s="10">
        <f>[1]!s_fa_roe(N14,N13)%</f>
        <v>0.111497</v>
      </c>
      <c r="O28" s="10">
        <f>[1]!s_fa_roe(O14,O13)%</f>
        <v>4.7926000000000003E-2</v>
      </c>
      <c r="P28" s="10">
        <f>[1]!s_fa_roe(P14,P13)%</f>
        <v>0.17203199999999999</v>
      </c>
      <c r="Q28" s="10">
        <f>[1]!s_fa_roe(Q14,Q13)%</f>
        <v>0.137491</v>
      </c>
      <c r="R28" s="10">
        <f>[1]!s_fa_roe(R14,R13)%</f>
        <v>7.5312000000000004E-2</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46</v>
      </c>
      <c r="J29" s="68">
        <f>[1]!b_stm07_cs(J14,39,J13,1)/100000000</f>
        <v>-1.6018115816</v>
      </c>
      <c r="K29" s="122"/>
      <c r="L29" s="68">
        <f>[1]!b_stm07_cs(L14,39,L13,1)/100000000</f>
        <v>-6.8080245203</v>
      </c>
      <c r="M29" s="68">
        <f>[1]!b_stm07_cs(M14,39,M13,1)/100000000</f>
        <v>16.288406931500003</v>
      </c>
      <c r="N29" s="68">
        <f>[1]!b_stm07_cs(N14,39,N13,1)/100000000</f>
        <v>10.030671486299999</v>
      </c>
      <c r="O29" s="68">
        <f>[1]!b_stm07_cs(O14,39,O13,1)/100000000</f>
        <v>-40.833760383699996</v>
      </c>
      <c r="P29" s="68">
        <f>[1]!b_stm07_cs(P14,39,P13,1)/100000000</f>
        <v>2.4955644101000001</v>
      </c>
      <c r="Q29" s="68">
        <f>[1]!b_stm07_cs(Q14,39,Q13,1)/100000000</f>
        <v>-2.4042997257000001</v>
      </c>
      <c r="R29" s="68">
        <f>[1]!b_stm07_cs(R14,39,R13,1)/100000000</f>
        <v>-9.7277779438999996</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47</v>
      </c>
      <c r="J96" s="70">
        <f>[1]!b_stm07_bs(J14,75,J13,1)</f>
        <v>2660000000</v>
      </c>
      <c r="K96" s="70"/>
      <c r="L96" s="70">
        <f>[1]!b_stm07_bs(L14,75,L13,1)</f>
        <v>4570190829.7799997</v>
      </c>
      <c r="M96" s="70">
        <f>[1]!b_stm07_bs(M14,75,M13,1)</f>
        <v>3053099120</v>
      </c>
      <c r="N96" s="70">
        <f>[1]!b_stm07_bs(N14,75,N13,1)</f>
        <v>406500000</v>
      </c>
      <c r="O96" s="70">
        <f>[1]!b_stm07_bs(O14,75,O13,1)</f>
        <v>19397911551.669998</v>
      </c>
      <c r="P96" s="70">
        <f>[1]!b_stm07_bs(P14,75,P13,1)</f>
        <v>3728700000</v>
      </c>
      <c r="Q96" s="70">
        <f>[1]!b_stm07_bs(Q14,75,Q13,1)</f>
        <v>600000000</v>
      </c>
      <c r="R96" s="70">
        <f>[1]!b_stm07_bs(R14,75,R13,1)</f>
        <v>7525881205.1000004</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48</v>
      </c>
      <c r="J97" s="70">
        <f>[1]!b_stm07_bs(J14,82,J13,1)</f>
        <v>21873164.350000001</v>
      </c>
      <c r="K97" s="70"/>
      <c r="L97" s="70">
        <f>[1]!b_stm07_bs(L14,82,L13,1)</f>
        <v>52887906.130000003</v>
      </c>
      <c r="M97" s="70">
        <f>[1]!b_stm07_bs(M14,82,M13,1)</f>
        <v>135990244.56999999</v>
      </c>
      <c r="N97" s="70">
        <f>[1]!b_stm07_bs(N14,82,N13,1)</f>
        <v>17158711.82</v>
      </c>
      <c r="O97" s="70">
        <f>[1]!b_stm07_bs(O14,82,O13,1)</f>
        <v>93016062.609999999</v>
      </c>
      <c r="P97" s="70">
        <f>[1]!b_stm07_bs(P14,82,P13,1)</f>
        <v>108225314.12</v>
      </c>
      <c r="Q97" s="70">
        <f>[1]!b_stm07_bs(Q14,82,Q13,1)</f>
        <v>71410522.579999998</v>
      </c>
      <c r="R97" s="70">
        <f>[1]!b_stm07_bs(R14,82,R13,1)</f>
        <v>26860278.370000001</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49</v>
      </c>
      <c r="J98" s="70">
        <f>[1]!b_stm07_bs(J14,88,J13,1)</f>
        <v>1413283036.1199999</v>
      </c>
      <c r="K98" s="70"/>
      <c r="L98" s="70">
        <f>[1]!b_stm07_bs(L14,88,L13,1)</f>
        <v>450000000</v>
      </c>
      <c r="M98" s="70">
        <f>[1]!b_stm07_bs(M14,88,M13,1)</f>
        <v>1541960425.74</v>
      </c>
      <c r="N98" s="70">
        <f>[1]!b_stm07_bs(N14,88,N13,1)</f>
        <v>1253711877.3</v>
      </c>
      <c r="O98" s="70">
        <f>[1]!b_stm07_bs(O14,88,O13,1)</f>
        <v>5521879022.8400002</v>
      </c>
      <c r="P98" s="70">
        <f>[1]!b_stm07_bs(P14,88,P13,1)</f>
        <v>652009985.13999999</v>
      </c>
      <c r="Q98" s="70">
        <f>[1]!b_stm07_bs(Q14,88,Q13,1)</f>
        <v>160000000</v>
      </c>
      <c r="R98" s="70">
        <f>[1]!b_stm07_bs(R14,88,R13,1)</f>
        <v>651000000</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50</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51</v>
      </c>
      <c r="J100" s="70">
        <f>[1]!b_stm07_bs(J14,94,J13,1)</f>
        <v>1005981252.88</v>
      </c>
      <c r="K100" s="70"/>
      <c r="L100" s="70">
        <f>[1]!b_stm07_bs(L14,94,L13,1)</f>
        <v>779000000</v>
      </c>
      <c r="M100" s="70">
        <f>[1]!b_stm07_bs(M14,94,M13,1)</f>
        <v>2718227200</v>
      </c>
      <c r="N100" s="70">
        <f>[1]!b_stm07_bs(N14,94,N13,1)</f>
        <v>6351290000</v>
      </c>
      <c r="O100" s="70">
        <f>[1]!b_stm07_bs(O14,94,O13,1)</f>
        <v>8591004400</v>
      </c>
      <c r="P100" s="70">
        <f>[1]!b_stm07_bs(P14,94,P13,1)</f>
        <v>2343340000</v>
      </c>
      <c r="Q100" s="70">
        <f>[1]!b_stm07_bs(Q14,94,Q13,1)</f>
        <v>1597000000</v>
      </c>
      <c r="R100" s="70">
        <f>[1]!b_stm07_bs(R14,94,R13,1)</f>
        <v>2800818313.9699998</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52</v>
      </c>
      <c r="J101" s="70">
        <f>[1]!b_stm07_bs(J14,95,J13,1)</f>
        <v>0</v>
      </c>
      <c r="K101" s="70"/>
      <c r="L101" s="70">
        <f>[1]!b_stm07_bs(L14,95,L13,1)</f>
        <v>650000000</v>
      </c>
      <c r="M101" s="70">
        <f>[1]!b_stm07_bs(M14,95,M13,1)</f>
        <v>6000000000</v>
      </c>
      <c r="N101" s="70">
        <f>[1]!b_stm07_bs(N14,95,N13,1)</f>
        <v>292750000</v>
      </c>
      <c r="O101" s="70">
        <f>[1]!b_stm07_bs(O14,95,O13,1)</f>
        <v>160000000</v>
      </c>
      <c r="P101" s="70">
        <f>[1]!b_stm07_bs(P14,95,P13,1)</f>
        <v>3910866892.52</v>
      </c>
      <c r="Q101" s="70">
        <f>[1]!b_stm07_bs(Q14,95,Q13,1)</f>
        <v>4982549425.7299995</v>
      </c>
      <c r="R101" s="70">
        <f>[1]!b_stm07_bs(R14,95,R13,1)</f>
        <v>500000000</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53</v>
      </c>
      <c r="J103" s="70">
        <f>[1]!b_stm07_bs(J14,141,J13,1)</f>
        <v>2461409611.1500001</v>
      </c>
      <c r="K103" s="70"/>
      <c r="L103" s="70">
        <f>[1]!b_stm07_bs(L14,141,L13,1)</f>
        <v>11516595037.139999</v>
      </c>
      <c r="M103" s="70">
        <f>[1]!b_stm07_bs(M14,141,M13,1)</f>
        <v>22096203913.810001</v>
      </c>
      <c r="N103" s="70">
        <f>[1]!b_stm07_bs(N14,141,N13,1)</f>
        <v>6417923904.2399998</v>
      </c>
      <c r="O103" s="70">
        <f>[1]!b_stm07_bs(O14,141,O13,1)</f>
        <v>10557503023.209999</v>
      </c>
      <c r="P103" s="70">
        <f>[1]!b_stm07_bs(P14,141,P13,1)</f>
        <v>8414855123.2600002</v>
      </c>
      <c r="Q103" s="70">
        <f>[1]!b_stm07_bs(Q14,141,Q13,1)</f>
        <v>9741503317.8600006</v>
      </c>
      <c r="R103" s="70">
        <f>[1]!b_stm07_bs(R14,141,R13,1)</f>
        <v>8555625297.1800003</v>
      </c>
    </row>
    <row r="106" spans="1:19" ht="14.25" customHeight="1" x14ac:dyDescent="0.25">
      <c r="A106" s="121" t="s">
        <v>54</v>
      </c>
      <c r="B106" s="116"/>
      <c r="C106" s="116"/>
      <c r="D106" s="122"/>
      <c r="E106" s="122"/>
      <c r="F106" s="122"/>
      <c r="G106" s="122"/>
      <c r="H106" s="122"/>
      <c r="I106" s="122"/>
      <c r="J106" s="122"/>
      <c r="L106" s="17"/>
      <c r="M106" s="17"/>
    </row>
    <row r="107" spans="1:19" x14ac:dyDescent="0.25">
      <c r="A107" s="123" t="s">
        <v>55</v>
      </c>
      <c r="B107" s="116"/>
      <c r="C107" s="116"/>
      <c r="D107" s="122"/>
      <c r="E107" s="122"/>
      <c r="F107" s="122"/>
      <c r="G107" s="124">
        <v>2017</v>
      </c>
      <c r="H107" s="122"/>
      <c r="I107" s="122"/>
      <c r="J107" s="122"/>
      <c r="K107" s="40" t="str">
        <f>A2</f>
        <v>q19041605.IB</v>
      </c>
      <c r="L107" s="33">
        <f>B2</f>
        <v>43100</v>
      </c>
      <c r="M107" s="17"/>
    </row>
    <row r="108" spans="1:19" ht="12.75" customHeight="1" x14ac:dyDescent="0.25">
      <c r="A108" s="125" t="s">
        <v>56</v>
      </c>
      <c r="B108" s="116"/>
      <c r="C108" s="125" t="s">
        <v>57</v>
      </c>
      <c r="D108" s="122"/>
      <c r="E108" s="125" t="s">
        <v>58</v>
      </c>
      <c r="F108" s="122"/>
      <c r="G108" s="125" t="s">
        <v>59</v>
      </c>
      <c r="H108" s="122"/>
      <c r="I108" s="125" t="s">
        <v>60</v>
      </c>
      <c r="J108" s="122"/>
      <c r="L108" s="17"/>
      <c r="M108" s="17"/>
    </row>
    <row r="109" spans="1:19" ht="16.5" customHeight="1" x14ac:dyDescent="0.25">
      <c r="A109" s="53" t="s">
        <v>61</v>
      </c>
      <c r="B109" s="12">
        <f>M109/100</f>
        <v>0.88244900000000004</v>
      </c>
      <c r="C109" s="53" t="s">
        <v>36</v>
      </c>
      <c r="D109" s="71">
        <f>[1]!s_fa_current(A2,B2)</f>
        <v>1.0042</v>
      </c>
      <c r="E109" s="53" t="s">
        <v>41</v>
      </c>
      <c r="F109" s="72">
        <f>[1]!s_fa_salescashintoor(A2,B2)/100</f>
        <v>0.82969999999999999</v>
      </c>
      <c r="G109" s="53" t="s">
        <v>42</v>
      </c>
      <c r="H109" s="12">
        <f>S109/100</f>
        <v>8.108499999999999E-2</v>
      </c>
      <c r="I109" s="53"/>
      <c r="J109" s="16"/>
      <c r="K109" s="25"/>
      <c r="L109" s="34" t="s">
        <v>61</v>
      </c>
      <c r="M109" s="73">
        <f>[1]!s_fa_debttoassets(A2,B2)</f>
        <v>88.244900000000001</v>
      </c>
      <c r="N109" s="53" t="s">
        <v>36</v>
      </c>
      <c r="O109" s="35"/>
      <c r="P109" s="53" t="s">
        <v>41</v>
      </c>
      <c r="Q109" s="35"/>
      <c r="R109" s="53" t="s">
        <v>42</v>
      </c>
      <c r="S109" s="74">
        <f>[1]!s_fa_grossprofitmargin(A2,B2)</f>
        <v>8.1084999999999994</v>
      </c>
    </row>
    <row r="110" spans="1:19" ht="15.75" customHeight="1" x14ac:dyDescent="0.25">
      <c r="A110" s="53" t="s">
        <v>62</v>
      </c>
      <c r="B110" s="12">
        <f>M110/100</f>
        <v>0.837951</v>
      </c>
      <c r="C110" s="53" t="s">
        <v>63</v>
      </c>
      <c r="D110" s="72">
        <f>[1]!s_fa_quick(A2,B2)</f>
        <v>0.56320000000000003</v>
      </c>
      <c r="E110" s="53" t="s">
        <v>64</v>
      </c>
      <c r="F110" s="71">
        <f>[1]!s_fa_arturn(A2,B2)</f>
        <v>5.83</v>
      </c>
      <c r="G110" s="53" t="s">
        <v>65</v>
      </c>
      <c r="H110" s="12">
        <f>S110/100</f>
        <v>5.3200999999999998E-2</v>
      </c>
      <c r="I110" s="53"/>
      <c r="J110" s="16"/>
      <c r="L110" s="53" t="s">
        <v>62</v>
      </c>
      <c r="M110" s="73">
        <f>[1]!s_fa_catoassets(A2,B2)</f>
        <v>83.795100000000005</v>
      </c>
      <c r="N110" s="53" t="s">
        <v>63</v>
      </c>
      <c r="O110" s="35"/>
      <c r="P110" s="53" t="s">
        <v>64</v>
      </c>
      <c r="Q110" s="72"/>
      <c r="R110" s="53" t="s">
        <v>65</v>
      </c>
      <c r="S110" s="74">
        <f>[1]!s_fa_optogr(A2,B2)</f>
        <v>5.3201000000000001</v>
      </c>
    </row>
    <row r="111" spans="1:19" ht="15" customHeight="1" x14ac:dyDescent="0.25">
      <c r="A111" s="53" t="s">
        <v>66</v>
      </c>
      <c r="B111" s="12">
        <f>M111/100</f>
        <v>0.94555699999999998</v>
      </c>
      <c r="C111" s="53" t="s">
        <v>39</v>
      </c>
      <c r="D111" s="72">
        <f>[1]!s_fa_ebitdatodebt(A2,B2)</f>
        <v>6.0900000000000003E-2</v>
      </c>
      <c r="E111" s="53" t="s">
        <v>67</v>
      </c>
      <c r="F111" s="71">
        <f>[1]!s_fa_invturn(A2,B2)</f>
        <v>2.2464</v>
      </c>
      <c r="G111" s="53" t="s">
        <v>45</v>
      </c>
      <c r="H111" s="12">
        <f>S111/100</f>
        <v>0.27393800000000001</v>
      </c>
      <c r="I111" s="53"/>
      <c r="J111" s="16"/>
      <c r="L111" s="53" t="s">
        <v>66</v>
      </c>
      <c r="M111" s="73">
        <f>[1]!s_fa_currentdebttodebt(A2,B2)</f>
        <v>94.555700000000002</v>
      </c>
      <c r="N111" s="53" t="s">
        <v>39</v>
      </c>
      <c r="O111" s="35"/>
      <c r="P111" s="53" t="s">
        <v>67</v>
      </c>
      <c r="Q111" s="35"/>
      <c r="R111" s="53" t="s">
        <v>45</v>
      </c>
      <c r="S111" s="74">
        <f>[1]!s_fa_roe(A2,B2)</f>
        <v>27.393799999999999</v>
      </c>
    </row>
    <row r="112" spans="1:19" ht="14.25" customHeight="1" x14ac:dyDescent="0.25">
      <c r="A112" s="53" t="s">
        <v>38</v>
      </c>
      <c r="B112" s="75">
        <f>(M116+M117+M118+M119+M120+M121)/M123</f>
        <v>2.0724455735616822</v>
      </c>
      <c r="C112" s="53" t="s">
        <v>68</v>
      </c>
      <c r="D112" s="72">
        <f>[1]!s_fa_ebittointerest(A2,B2)</f>
        <v>5.9044999999999996</v>
      </c>
      <c r="E112" s="53" t="s">
        <v>69</v>
      </c>
      <c r="F112" s="71">
        <f>[1]!s_fa_caturn(A2,B2)</f>
        <v>1.0504</v>
      </c>
      <c r="G112" s="53" t="s">
        <v>70</v>
      </c>
      <c r="H112" s="12">
        <f>S112/100</f>
        <v>5.4566999999999997E-2</v>
      </c>
      <c r="I112" s="53"/>
      <c r="J112" s="16"/>
      <c r="L112" s="53" t="s">
        <v>38</v>
      </c>
      <c r="M112" s="76"/>
      <c r="N112" s="53" t="s">
        <v>68</v>
      </c>
      <c r="O112" s="35"/>
      <c r="P112" s="53" t="s">
        <v>69</v>
      </c>
      <c r="Q112" s="35"/>
      <c r="R112" s="53" t="s">
        <v>70</v>
      </c>
      <c r="S112" s="74">
        <f>[1]!s_fa_roa2(A2,B2)</f>
        <v>5.4566999999999997</v>
      </c>
    </row>
    <row r="113" spans="1:21" x14ac:dyDescent="0.25">
      <c r="A113" s="30"/>
      <c r="B113" s="31"/>
      <c r="C113" s="30"/>
      <c r="D113" s="32"/>
      <c r="E113" s="30" t="s">
        <v>71</v>
      </c>
      <c r="F113" s="77">
        <f>[1]!s_fa_dupont_faturnover(A2,B2)</f>
        <v>0.86119999999999997</v>
      </c>
      <c r="G113" s="30"/>
      <c r="H113" s="31"/>
      <c r="I113" s="30"/>
      <c r="J113" s="31"/>
      <c r="L113" s="30"/>
      <c r="M113" s="36"/>
      <c r="N113" s="30"/>
      <c r="O113" s="32"/>
      <c r="P113" s="30" t="s">
        <v>71</v>
      </c>
      <c r="Q113" s="37"/>
      <c r="R113" s="30"/>
      <c r="S113" s="31"/>
    </row>
    <row r="114" spans="1:21" ht="13.5" customHeight="1" x14ac:dyDescent="0.25">
      <c r="A114" s="121" t="s">
        <v>72</v>
      </c>
      <c r="B114" s="116"/>
      <c r="C114" s="116"/>
      <c r="D114" s="122"/>
      <c r="E114" s="122"/>
      <c r="F114" s="122"/>
      <c r="G114" s="122"/>
      <c r="H114" s="122"/>
      <c r="I114" s="122"/>
      <c r="J114" s="122"/>
      <c r="L114" s="17"/>
      <c r="M114" s="17"/>
    </row>
    <row r="115" spans="1:21" ht="13.5" customHeight="1" x14ac:dyDescent="0.25">
      <c r="A115" s="123" t="s">
        <v>73</v>
      </c>
      <c r="B115" s="116"/>
      <c r="C115" s="116"/>
      <c r="D115" s="122"/>
      <c r="E115" s="122"/>
      <c r="F115" s="122"/>
      <c r="G115" s="126">
        <v>2017</v>
      </c>
      <c r="H115" s="122"/>
      <c r="I115" s="122"/>
      <c r="J115" s="122"/>
      <c r="L115" s="17"/>
      <c r="M115" s="17"/>
    </row>
    <row r="116" spans="1:21" x14ac:dyDescent="0.25">
      <c r="A116" s="127" t="s">
        <v>74</v>
      </c>
      <c r="B116" s="116"/>
      <c r="C116" s="127" t="s">
        <v>75</v>
      </c>
      <c r="D116" s="122"/>
      <c r="E116" s="128" t="s">
        <v>76</v>
      </c>
      <c r="F116" s="122"/>
      <c r="G116" s="122"/>
      <c r="H116" s="122"/>
      <c r="I116" s="122"/>
      <c r="J116" s="122"/>
      <c r="L116" s="17" t="s">
        <v>47</v>
      </c>
      <c r="M116" s="70">
        <f>[1]!b_stm07_bs(K107,75,L107,1)</f>
        <v>2660000000</v>
      </c>
    </row>
    <row r="117" spans="1:21" ht="14.25" customHeight="1" x14ac:dyDescent="0.25">
      <c r="A117" s="53" t="s">
        <v>77</v>
      </c>
      <c r="B117" s="72">
        <f t="shared" ref="B117:B131" si="1">M127/100000000</f>
        <v>34.247489125800001</v>
      </c>
      <c r="C117" s="53" t="s">
        <v>78</v>
      </c>
      <c r="D117" s="75">
        <f t="shared" ref="D117:D125" si="2">O127/100000000</f>
        <v>158.28077026299999</v>
      </c>
      <c r="E117" s="129" t="s">
        <v>79</v>
      </c>
      <c r="F117" s="122"/>
      <c r="G117" s="122"/>
      <c r="H117" s="130">
        <f t="shared" ref="H117:H131" si="3">S127/100000000</f>
        <v>131.32980300599999</v>
      </c>
      <c r="I117" s="122"/>
      <c r="J117" s="122"/>
      <c r="L117" s="17" t="s">
        <v>48</v>
      </c>
      <c r="M117" s="70">
        <f>[1]!b_stm07_bs(K107,82,L107,1)</f>
        <v>21873164.350000001</v>
      </c>
    </row>
    <row r="118" spans="1:21" ht="14.25" customHeight="1" x14ac:dyDescent="0.25">
      <c r="A118" s="53" t="s">
        <v>80</v>
      </c>
      <c r="B118" s="72">
        <f t="shared" si="1"/>
        <v>25.6689367886</v>
      </c>
      <c r="C118" s="53" t="s">
        <v>81</v>
      </c>
      <c r="D118" s="75">
        <f t="shared" si="2"/>
        <v>151.99179941030002</v>
      </c>
      <c r="E118" s="129" t="s">
        <v>82</v>
      </c>
      <c r="F118" s="122"/>
      <c r="G118" s="122"/>
      <c r="H118" s="130">
        <f t="shared" si="3"/>
        <v>9.6907481459000007</v>
      </c>
      <c r="I118" s="122"/>
      <c r="J118" s="122"/>
      <c r="L118" s="17" t="s">
        <v>49</v>
      </c>
      <c r="M118" s="70">
        <f>[1]!b_stm07_bs(K107,88,L107,1)</f>
        <v>1413283036.1199999</v>
      </c>
    </row>
    <row r="119" spans="1:21" ht="14.25" customHeight="1" x14ac:dyDescent="0.25">
      <c r="A119" s="53" t="s">
        <v>83</v>
      </c>
      <c r="B119" s="72">
        <f t="shared" si="1"/>
        <v>15.012526344400001</v>
      </c>
      <c r="C119" s="53" t="s">
        <v>84</v>
      </c>
      <c r="D119" s="75">
        <f t="shared" si="2"/>
        <v>145.44653516130001</v>
      </c>
      <c r="E119" s="129" t="s">
        <v>85</v>
      </c>
      <c r="F119" s="122"/>
      <c r="G119" s="122"/>
      <c r="H119" s="131">
        <f t="shared" si="3"/>
        <v>141.02059115189999</v>
      </c>
      <c r="I119" s="122"/>
      <c r="J119" s="122"/>
      <c r="L119" s="17" t="s">
        <v>50</v>
      </c>
      <c r="M119" s="70">
        <f>[1]!b_stm07_bs(K107,147,L107,1)</f>
        <v>0</v>
      </c>
    </row>
    <row r="120" spans="1:21" ht="14.25" customHeight="1" x14ac:dyDescent="0.25">
      <c r="A120" s="53" t="s">
        <v>86</v>
      </c>
      <c r="B120" s="72">
        <f t="shared" si="1"/>
        <v>7.8581867225000002</v>
      </c>
      <c r="C120" s="53" t="s">
        <v>87</v>
      </c>
      <c r="D120" s="75">
        <f t="shared" si="2"/>
        <v>0</v>
      </c>
      <c r="E120" s="129" t="s">
        <v>88</v>
      </c>
      <c r="F120" s="122"/>
      <c r="G120" s="122"/>
      <c r="H120" s="130">
        <f t="shared" si="3"/>
        <v>116.84150333700001</v>
      </c>
      <c r="I120" s="122"/>
      <c r="J120" s="122"/>
      <c r="L120" s="17" t="s">
        <v>51</v>
      </c>
      <c r="M120" s="70">
        <f>[1]!b_stm07_bs(K107,94,L107,1)</f>
        <v>1005981252.88</v>
      </c>
    </row>
    <row r="121" spans="1:21" ht="14.25" customHeight="1" x14ac:dyDescent="0.25">
      <c r="A121" s="53" t="s">
        <v>89</v>
      </c>
      <c r="B121" s="72">
        <f t="shared" si="1"/>
        <v>0.45328924479999999</v>
      </c>
      <c r="C121" s="53" t="s">
        <v>90</v>
      </c>
      <c r="D121" s="75">
        <f t="shared" si="2"/>
        <v>3.3759367726999998</v>
      </c>
      <c r="E121" s="129" t="s">
        <v>91</v>
      </c>
      <c r="F121" s="122"/>
      <c r="G121" s="122"/>
      <c r="H121" s="130">
        <f t="shared" si="3"/>
        <v>10.4493335421</v>
      </c>
      <c r="I121" s="122"/>
      <c r="J121" s="122"/>
      <c r="L121" s="17" t="s">
        <v>52</v>
      </c>
      <c r="M121" s="70">
        <f>[1]!b_stm07_bs(K107,95,L107,1)</f>
        <v>0</v>
      </c>
    </row>
    <row r="122" spans="1:21" ht="14.25" customHeight="1" x14ac:dyDescent="0.25">
      <c r="A122" s="53" t="s">
        <v>92</v>
      </c>
      <c r="B122" s="72">
        <f t="shared" si="1"/>
        <v>0.72976739680000002</v>
      </c>
      <c r="C122" s="53" t="s">
        <v>93</v>
      </c>
      <c r="D122" s="75">
        <f t="shared" si="2"/>
        <v>1.8428227884000001</v>
      </c>
      <c r="E122" s="129" t="s">
        <v>94</v>
      </c>
      <c r="F122" s="122"/>
      <c r="G122" s="122"/>
      <c r="H122" s="131">
        <f t="shared" si="3"/>
        <v>142.6224027335</v>
      </c>
      <c r="I122" s="122"/>
      <c r="J122" s="122"/>
      <c r="L122" s="17"/>
      <c r="M122" s="17"/>
    </row>
    <row r="123" spans="1:21" ht="14.25" customHeight="1" x14ac:dyDescent="0.25">
      <c r="A123" s="53" t="s">
        <v>95</v>
      </c>
      <c r="B123" s="78">
        <f t="shared" si="1"/>
        <v>209.39138524669997</v>
      </c>
      <c r="C123" s="53" t="s">
        <v>96</v>
      </c>
      <c r="D123" s="75">
        <f t="shared" si="2"/>
        <v>8.420770019299999</v>
      </c>
      <c r="E123" s="129" t="s">
        <v>97</v>
      </c>
      <c r="F123" s="122"/>
      <c r="G123" s="122"/>
      <c r="H123" s="131">
        <f t="shared" si="3"/>
        <v>-1.6018115816</v>
      </c>
      <c r="I123" s="122"/>
      <c r="J123" s="122"/>
      <c r="L123" s="17" t="s">
        <v>53</v>
      </c>
      <c r="M123" s="70">
        <f>[1]!b_stm07_bs(K107,141,L107,1)</f>
        <v>2461409611.1500001</v>
      </c>
    </row>
    <row r="124" spans="1:21" ht="14.25" customHeight="1" x14ac:dyDescent="0.25">
      <c r="A124" s="53" t="s">
        <v>98</v>
      </c>
      <c r="B124" s="72">
        <f t="shared" si="1"/>
        <v>26.6</v>
      </c>
      <c r="C124" s="53" t="s">
        <v>99</v>
      </c>
      <c r="D124" s="75">
        <f t="shared" si="2"/>
        <v>8.3307393435999995</v>
      </c>
      <c r="E124" s="129" t="s">
        <v>100</v>
      </c>
      <c r="F124" s="122"/>
      <c r="G124" s="122"/>
      <c r="H124" s="131">
        <f t="shared" si="3"/>
        <v>-2.4460105548</v>
      </c>
      <c r="I124" s="122"/>
      <c r="J124" s="122"/>
      <c r="L124" s="17"/>
      <c r="M124" s="17"/>
    </row>
    <row r="125" spans="1:21" ht="27" customHeight="1" x14ac:dyDescent="0.25">
      <c r="A125" s="53" t="s">
        <v>101</v>
      </c>
      <c r="B125" s="72">
        <f t="shared" si="1"/>
        <v>14.132830361199998</v>
      </c>
      <c r="C125" s="53" t="s">
        <v>43</v>
      </c>
      <c r="D125" s="75">
        <f t="shared" si="2"/>
        <v>6.1462208721000007</v>
      </c>
      <c r="E125" s="129" t="s">
        <v>102</v>
      </c>
      <c r="F125" s="122"/>
      <c r="G125" s="122"/>
      <c r="H125" s="130">
        <f t="shared" si="3"/>
        <v>9.8000000000000004E-2</v>
      </c>
      <c r="I125" s="122"/>
      <c r="J125" s="122"/>
      <c r="L125" s="17"/>
      <c r="M125" s="17"/>
    </row>
    <row r="126" spans="1:21" ht="16.5" customHeight="1" x14ac:dyDescent="0.25">
      <c r="A126" s="53" t="s">
        <v>103</v>
      </c>
      <c r="B126" s="72">
        <f t="shared" si="1"/>
        <v>0</v>
      </c>
      <c r="C126" s="53"/>
      <c r="D126" s="79"/>
      <c r="E126" s="129" t="s">
        <v>104</v>
      </c>
      <c r="F126" s="122"/>
      <c r="G126" s="122"/>
      <c r="H126" s="130">
        <f t="shared" si="3"/>
        <v>39.922642889999999</v>
      </c>
      <c r="I126" s="122"/>
      <c r="J126" s="122"/>
      <c r="L126" s="132" t="s">
        <v>74</v>
      </c>
      <c r="M126" s="122"/>
      <c r="N126" s="132" t="s">
        <v>75</v>
      </c>
      <c r="O126" s="122"/>
      <c r="P126" s="123" t="s">
        <v>76</v>
      </c>
      <c r="Q126" s="122"/>
      <c r="R126" s="122"/>
      <c r="S126" s="133"/>
      <c r="T126" s="133"/>
      <c r="U126" s="133"/>
    </row>
    <row r="127" spans="1:21" ht="14.25" customHeight="1" x14ac:dyDescent="0.25">
      <c r="A127" s="53" t="s">
        <v>105</v>
      </c>
      <c r="B127" s="72">
        <f t="shared" si="1"/>
        <v>10.0598125288</v>
      </c>
      <c r="C127" s="53"/>
      <c r="D127" s="79"/>
      <c r="E127" s="129" t="s">
        <v>106</v>
      </c>
      <c r="F127" s="122"/>
      <c r="G127" s="122"/>
      <c r="H127" s="130">
        <f t="shared" si="3"/>
        <v>0</v>
      </c>
      <c r="I127" s="122"/>
      <c r="J127" s="122"/>
      <c r="L127" s="53" t="s">
        <v>77</v>
      </c>
      <c r="M127" s="74">
        <f>[1]!b_stm07_bs(K107,9,L107,1)</f>
        <v>3424748912.5799999</v>
      </c>
      <c r="N127" s="53" t="s">
        <v>78</v>
      </c>
      <c r="O127" s="74">
        <f>[1]!b_stm07_is(K107,83,L107,1)</f>
        <v>15828077026.299999</v>
      </c>
      <c r="P127" s="129" t="s">
        <v>79</v>
      </c>
      <c r="Q127" s="122"/>
      <c r="R127" s="122"/>
      <c r="S127" s="134">
        <f>[1]!b_stm07_cs(K107,9,L107,1)</f>
        <v>13132980300.6</v>
      </c>
      <c r="T127" s="133"/>
      <c r="U127" s="133"/>
    </row>
    <row r="128" spans="1:21" ht="14.25" customHeight="1" x14ac:dyDescent="0.25">
      <c r="A128" s="53" t="s">
        <v>107</v>
      </c>
      <c r="B128" s="72">
        <f t="shared" si="1"/>
        <v>0</v>
      </c>
      <c r="C128" s="53"/>
      <c r="D128" s="79"/>
      <c r="E128" s="129" t="s">
        <v>108</v>
      </c>
      <c r="F128" s="122"/>
      <c r="G128" s="122"/>
      <c r="H128" s="131">
        <f t="shared" si="3"/>
        <v>40.020642889999998</v>
      </c>
      <c r="I128" s="122"/>
      <c r="J128" s="122"/>
      <c r="L128" s="53" t="s">
        <v>80</v>
      </c>
      <c r="M128" s="74">
        <f>[1]!b_stm07_bs(K107,12,L107,1)</f>
        <v>2566893678.8600001</v>
      </c>
      <c r="N128" s="53" t="s">
        <v>81</v>
      </c>
      <c r="O128" s="74">
        <f>[1]!b_stm07_is(K107,84,L107,1)</f>
        <v>15199179941.030001</v>
      </c>
      <c r="P128" s="129" t="s">
        <v>82</v>
      </c>
      <c r="Q128" s="122"/>
      <c r="R128" s="122"/>
      <c r="S128" s="134">
        <f>[1]!b_stm07_cs(K107,11,L107,1)</f>
        <v>969074814.59000003</v>
      </c>
      <c r="T128" s="133"/>
      <c r="U128" s="133"/>
    </row>
    <row r="129" spans="1:21" ht="14.25" customHeight="1" x14ac:dyDescent="0.25">
      <c r="A129" s="53" t="s">
        <v>109</v>
      </c>
      <c r="B129" s="78">
        <f t="shared" si="1"/>
        <v>184.77728913519999</v>
      </c>
      <c r="C129" s="14"/>
      <c r="D129" s="13"/>
      <c r="E129" s="129" t="s">
        <v>110</v>
      </c>
      <c r="F129" s="122"/>
      <c r="G129" s="122"/>
      <c r="H129" s="130">
        <f t="shared" si="3"/>
        <v>25.72</v>
      </c>
      <c r="I129" s="122"/>
      <c r="J129" s="122"/>
      <c r="L129" s="53" t="s">
        <v>83</v>
      </c>
      <c r="M129" s="74">
        <f>[1]!b_stm07_bs(K107,13,L107,1)</f>
        <v>1501252634.4400001</v>
      </c>
      <c r="N129" s="53" t="s">
        <v>84</v>
      </c>
      <c r="O129" s="74">
        <f>[1]!b_stm07_is(K107,10,L107,1)</f>
        <v>14544653516.129999</v>
      </c>
      <c r="P129" s="129" t="s">
        <v>85</v>
      </c>
      <c r="Q129" s="122"/>
      <c r="R129" s="122"/>
      <c r="S129" s="135">
        <f>[1]!b_stm07_cs(K107,25,L107,1)</f>
        <v>14102059115.190001</v>
      </c>
      <c r="T129" s="133"/>
      <c r="U129" s="133"/>
    </row>
    <row r="130" spans="1:21" ht="14.25" customHeight="1" x14ac:dyDescent="0.25">
      <c r="A130" s="53" t="s">
        <v>111</v>
      </c>
      <c r="B130" s="78">
        <f t="shared" si="1"/>
        <v>24.6140961115</v>
      </c>
      <c r="C130" s="14"/>
      <c r="D130" s="13"/>
      <c r="E130" s="129" t="s">
        <v>112</v>
      </c>
      <c r="F130" s="122"/>
      <c r="G130" s="122"/>
      <c r="H130" s="130">
        <f t="shared" si="3"/>
        <v>28.805255140500002</v>
      </c>
      <c r="I130" s="122"/>
      <c r="J130" s="122"/>
      <c r="L130" s="53" t="s">
        <v>86</v>
      </c>
      <c r="M130" s="74">
        <f>[1]!b_stm07_bs(K107,31,L107,1)</f>
        <v>785818672.25</v>
      </c>
      <c r="N130" s="53" t="s">
        <v>87</v>
      </c>
      <c r="O130" s="74">
        <f>[1]!b_stm07_is(K107,12,L107,1)</f>
        <v>0</v>
      </c>
      <c r="P130" s="129" t="s">
        <v>88</v>
      </c>
      <c r="Q130" s="122"/>
      <c r="R130" s="122"/>
      <c r="S130" s="134">
        <f>[1]!b_stm07_cs(K107,26,L107,1)</f>
        <v>11684150333.700001</v>
      </c>
      <c r="T130" s="133"/>
      <c r="U130" s="133"/>
    </row>
    <row r="131" spans="1:21" ht="14.25" customHeight="1" x14ac:dyDescent="0.25">
      <c r="A131" s="15" t="s">
        <v>113</v>
      </c>
      <c r="B131" s="78">
        <f t="shared" si="1"/>
        <v>209.39138524669997</v>
      </c>
      <c r="C131" s="14"/>
      <c r="D131" s="13"/>
      <c r="E131" s="129" t="s">
        <v>114</v>
      </c>
      <c r="F131" s="122"/>
      <c r="G131" s="122"/>
      <c r="H131" s="131">
        <f t="shared" si="3"/>
        <v>11.2153877495</v>
      </c>
      <c r="I131" s="122"/>
      <c r="J131" s="122"/>
      <c r="L131" s="53" t="s">
        <v>89</v>
      </c>
      <c r="M131" s="74">
        <f>[1]!b_stm07_bs(K107,33,L107,1)</f>
        <v>45328924.479999997</v>
      </c>
      <c r="N131" s="53" t="s">
        <v>90</v>
      </c>
      <c r="O131" s="74">
        <f>[1]!b_stm07_is(K107,13,L107,1)</f>
        <v>337593677.26999998</v>
      </c>
      <c r="P131" s="129" t="s">
        <v>91</v>
      </c>
      <c r="Q131" s="122"/>
      <c r="R131" s="122"/>
      <c r="S131" s="134">
        <f>[1]!b_stm07_cs(K107,29,L107,1)</f>
        <v>1044933354.21</v>
      </c>
      <c r="T131" s="133"/>
      <c r="U131" s="133"/>
    </row>
    <row r="132" spans="1:21" x14ac:dyDescent="0.25">
      <c r="L132" s="53" t="s">
        <v>92</v>
      </c>
      <c r="M132" s="74">
        <f>[1]!b_stm07_bs(K107,37,L107,1)</f>
        <v>72976739.680000007</v>
      </c>
      <c r="N132" s="53" t="s">
        <v>93</v>
      </c>
      <c r="O132" s="74">
        <f>[1]!b_stm07_is(K107,14,L107,1)</f>
        <v>184282278.84</v>
      </c>
      <c r="P132" s="129" t="s">
        <v>94</v>
      </c>
      <c r="Q132" s="122"/>
      <c r="R132" s="122"/>
      <c r="S132" s="135">
        <f>[1]!b_stm07_cs(K107,37,L107,1)</f>
        <v>14262240273.35</v>
      </c>
      <c r="T132" s="133"/>
      <c r="U132" s="133"/>
    </row>
    <row r="133" spans="1:21" x14ac:dyDescent="0.25">
      <c r="L133" s="53" t="s">
        <v>95</v>
      </c>
      <c r="M133" s="80">
        <f>[1]!b_stm07_bs(K107,74,L107,1)</f>
        <v>20939138524.669998</v>
      </c>
      <c r="N133" s="53" t="s">
        <v>96</v>
      </c>
      <c r="O133" s="74">
        <f>[1]!b_stm07_is(K107,48,L107,1)</f>
        <v>842077001.92999995</v>
      </c>
      <c r="P133" s="129" t="s">
        <v>97</v>
      </c>
      <c r="Q133" s="122"/>
      <c r="R133" s="122"/>
      <c r="S133" s="135">
        <f>[1]!b_stm07_cs(K107,39,L107,1)</f>
        <v>-160181158.16</v>
      </c>
      <c r="T133" s="133"/>
      <c r="U133" s="133"/>
    </row>
    <row r="134" spans="1:21" x14ac:dyDescent="0.25">
      <c r="L134" s="53" t="s">
        <v>98</v>
      </c>
      <c r="M134" s="74">
        <f>[1]!b_stm07_bs(K107,75,L107,1)</f>
        <v>2660000000</v>
      </c>
      <c r="N134" s="53" t="s">
        <v>99</v>
      </c>
      <c r="O134" s="74">
        <f>[1]!b_stm07_is(K107,55,L107,1)</f>
        <v>833073934.36000001</v>
      </c>
      <c r="P134" s="129" t="s">
        <v>100</v>
      </c>
      <c r="Q134" s="122"/>
      <c r="R134" s="122"/>
      <c r="S134" s="135">
        <f>[1]!b_stm07_cs(K107,59,L107,1)</f>
        <v>-244601055.47999999</v>
      </c>
      <c r="T134" s="133"/>
      <c r="U134" s="133"/>
    </row>
    <row r="135" spans="1:21" ht="32.4" customHeight="1" x14ac:dyDescent="0.25">
      <c r="L135" s="53" t="s">
        <v>101</v>
      </c>
      <c r="M135" s="74">
        <f>[1]!b_stm07_bs(K107,88,L107,1)</f>
        <v>1413283036.1199999</v>
      </c>
      <c r="N135" s="53" t="s">
        <v>43</v>
      </c>
      <c r="O135" s="74">
        <f>[1]!b_stm07_is(K107,60,L107,1)</f>
        <v>614622087.21000004</v>
      </c>
      <c r="P135" s="129" t="s">
        <v>102</v>
      </c>
      <c r="Q135" s="122"/>
      <c r="R135" s="122"/>
      <c r="S135" s="134">
        <f>[1]!b_stm07_cs(K107,60,L107,1)</f>
        <v>9800000</v>
      </c>
      <c r="T135" s="133"/>
      <c r="U135" s="133"/>
    </row>
    <row r="136" spans="1:21" ht="21.6" customHeight="1" x14ac:dyDescent="0.25">
      <c r="L136" s="53" t="s">
        <v>103</v>
      </c>
      <c r="M136" s="74">
        <f>[1]!b_stm07_bs(K107,147,L107,1)</f>
        <v>0</v>
      </c>
      <c r="N136" s="53"/>
      <c r="O136" s="79"/>
      <c r="P136" s="129" t="s">
        <v>104</v>
      </c>
      <c r="Q136" s="122"/>
      <c r="R136" s="122"/>
      <c r="S136" s="134">
        <f>[1]!b_stm07_cs(K107,61,L107,1)</f>
        <v>3992264289</v>
      </c>
      <c r="T136" s="133"/>
      <c r="U136" s="133"/>
    </row>
    <row r="137" spans="1:21" x14ac:dyDescent="0.25">
      <c r="L137" s="53" t="s">
        <v>105</v>
      </c>
      <c r="M137" s="74">
        <f>[1]!b_stm07_bs(K107,94,L107,1)</f>
        <v>1005981252.88</v>
      </c>
      <c r="N137" s="53"/>
      <c r="O137" s="79"/>
      <c r="P137" s="129" t="s">
        <v>106</v>
      </c>
      <c r="Q137" s="122"/>
      <c r="R137" s="122"/>
      <c r="S137" s="134">
        <f>[1]!b_stm07_cs(K107,63,L107,1)</f>
        <v>0</v>
      </c>
      <c r="T137" s="133"/>
      <c r="U137" s="133"/>
    </row>
    <row r="138" spans="1:21" x14ac:dyDescent="0.25">
      <c r="L138" s="53" t="s">
        <v>107</v>
      </c>
      <c r="M138" s="74">
        <f>[1]!b_stm07_bs(K107,95,L107,1)</f>
        <v>0</v>
      </c>
      <c r="N138" s="53"/>
      <c r="O138" s="79"/>
      <c r="P138" s="129" t="s">
        <v>108</v>
      </c>
      <c r="Q138" s="122"/>
      <c r="R138" s="122"/>
      <c r="S138" s="135">
        <f>[1]!b_stm07_cs(K107,68,L107,1)</f>
        <v>4002064289</v>
      </c>
      <c r="T138" s="133"/>
      <c r="U138" s="133"/>
    </row>
    <row r="139" spans="1:21" x14ac:dyDescent="0.25">
      <c r="L139" s="53" t="s">
        <v>109</v>
      </c>
      <c r="M139" s="80">
        <f>[1]!b_stm07_bs(K107,128,L107,1)</f>
        <v>18477728913.52</v>
      </c>
      <c r="N139" s="14"/>
      <c r="O139" s="13"/>
      <c r="P139" s="129" t="s">
        <v>110</v>
      </c>
      <c r="Q139" s="122"/>
      <c r="R139" s="122"/>
      <c r="S139" s="134">
        <f>[1]!b_stm07_cs(K107,69,L107,1)</f>
        <v>2572000000</v>
      </c>
      <c r="T139" s="133"/>
      <c r="U139" s="133"/>
    </row>
    <row r="140" spans="1:21" ht="21.6" customHeight="1" x14ac:dyDescent="0.25">
      <c r="L140" s="53" t="s">
        <v>111</v>
      </c>
      <c r="M140" s="80">
        <f>[1]!b_stm07_bs(K107,141,L107,1)</f>
        <v>2461409611.1500001</v>
      </c>
      <c r="N140" s="14"/>
      <c r="O140" s="13"/>
      <c r="P140" s="129" t="s">
        <v>112</v>
      </c>
      <c r="Q140" s="122"/>
      <c r="R140" s="122"/>
      <c r="S140" s="134">
        <f>[1]!b_stm07_cs(K107,75,L107,1)</f>
        <v>2880525514.0500002</v>
      </c>
      <c r="T140" s="133"/>
      <c r="U140" s="133"/>
    </row>
    <row r="141" spans="1:21" ht="21.6" customHeight="1" x14ac:dyDescent="0.25">
      <c r="L141" s="15" t="s">
        <v>113</v>
      </c>
      <c r="M141" s="80">
        <f>[1]!b_stm07_bs(K107,145,L107,1)</f>
        <v>20939138524.669998</v>
      </c>
      <c r="N141" s="14"/>
      <c r="O141" s="13"/>
      <c r="P141" s="129" t="s">
        <v>114</v>
      </c>
      <c r="Q141" s="122"/>
      <c r="R141" s="122"/>
      <c r="S141" s="135">
        <f>[1]!b_stm07_cs(K107,77,L107,1)</f>
        <v>1121538774.95</v>
      </c>
      <c r="T141" s="133"/>
      <c r="U141" s="133"/>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7" t="s">
        <v>1</v>
      </c>
      <c r="B1" s="116"/>
      <c r="C1" s="116"/>
      <c r="D1" s="116"/>
      <c r="E1" s="116"/>
      <c r="F1" s="116"/>
      <c r="G1" s="116"/>
    </row>
    <row r="2" spans="1:12" ht="13.5" customHeight="1" x14ac:dyDescent="0.25">
      <c r="A2" s="56" t="s">
        <v>2</v>
      </c>
      <c r="B2" s="117" t="s">
        <v>206</v>
      </c>
      <c r="C2" s="118"/>
      <c r="D2" s="56" t="s">
        <v>3</v>
      </c>
      <c r="E2" s="117" t="s">
        <v>207</v>
      </c>
      <c r="F2" s="118"/>
      <c r="G2" s="118"/>
    </row>
    <row r="3" spans="1:12" ht="14.25" customHeight="1" x14ac:dyDescent="0.25">
      <c r="A3" s="56" t="s">
        <v>4</v>
      </c>
      <c r="B3" s="117" t="s">
        <v>208</v>
      </c>
      <c r="C3" s="118"/>
      <c r="D3" s="56" t="s">
        <v>5</v>
      </c>
      <c r="E3" s="117" t="s">
        <v>209</v>
      </c>
      <c r="F3" s="118"/>
      <c r="G3" s="118"/>
    </row>
    <row r="4" spans="1:12" ht="113.25" customHeight="1" x14ac:dyDescent="0.25">
      <c r="A4" s="56" t="s">
        <v>6</v>
      </c>
      <c r="B4" s="119" t="s">
        <v>210</v>
      </c>
      <c r="C4" s="118"/>
      <c r="D4" s="118"/>
      <c r="E4" s="118"/>
      <c r="F4" s="118"/>
      <c r="G4" s="118"/>
    </row>
    <row r="5" spans="1:12" ht="14.4" x14ac:dyDescent="0.25">
      <c r="A5" s="81" t="s">
        <v>115</v>
      </c>
      <c r="B5" s="138" t="s">
        <v>211</v>
      </c>
      <c r="C5" s="118"/>
      <c r="D5" s="118"/>
      <c r="E5" s="118"/>
      <c r="F5" s="139">
        <v>0.99989997863769531</v>
      </c>
      <c r="G5" s="118"/>
    </row>
    <row r="6" spans="1:12" ht="11.25" customHeight="1" x14ac:dyDescent="0.25">
      <c r="A6" s="81" t="s">
        <v>116</v>
      </c>
      <c r="B6" s="138" t="s">
        <v>212</v>
      </c>
      <c r="C6" s="118"/>
      <c r="D6" s="118"/>
      <c r="E6" s="118"/>
      <c r="F6" s="139">
        <v>9.9999997764825814E-5</v>
      </c>
      <c r="G6" s="118"/>
    </row>
    <row r="7" spans="1:12" ht="11.25" customHeight="1" x14ac:dyDescent="0.25">
      <c r="A7" s="81" t="s">
        <v>117</v>
      </c>
      <c r="B7" s="138" t="s">
        <v>213</v>
      </c>
      <c r="C7" s="118"/>
      <c r="D7" s="118"/>
      <c r="E7" s="118"/>
      <c r="F7" s="139" t="s">
        <v>213</v>
      </c>
      <c r="G7" s="118"/>
    </row>
    <row r="8" spans="1:12" ht="11.25" customHeight="1" x14ac:dyDescent="0.25">
      <c r="A8" s="81" t="s">
        <v>118</v>
      </c>
      <c r="B8" s="138" t="s">
        <v>213</v>
      </c>
      <c r="C8" s="118"/>
      <c r="D8" s="118"/>
      <c r="E8" s="118"/>
      <c r="F8" s="139" t="s">
        <v>213</v>
      </c>
      <c r="G8" s="118"/>
    </row>
    <row r="9" spans="1:12" ht="11.25" customHeight="1" x14ac:dyDescent="0.25">
      <c r="A9" s="81" t="s">
        <v>119</v>
      </c>
      <c r="B9" s="138" t="s">
        <v>213</v>
      </c>
      <c r="C9" s="118"/>
      <c r="D9" s="118"/>
      <c r="E9" s="118"/>
      <c r="F9" s="139" t="s">
        <v>213</v>
      </c>
      <c r="G9" s="118"/>
    </row>
    <row r="11" spans="1:12" ht="14.4" customHeight="1" x14ac:dyDescent="0.25">
      <c r="A11" s="140" t="s">
        <v>120</v>
      </c>
      <c r="B11" s="118"/>
      <c r="C11" s="118"/>
      <c r="D11" s="118"/>
      <c r="E11" s="118"/>
      <c r="F11" s="118"/>
      <c r="G11" s="118"/>
      <c r="I11" s="49"/>
      <c r="J11" s="49"/>
      <c r="K11" s="49"/>
      <c r="L11" s="49"/>
    </row>
    <row r="12" spans="1:12" ht="13.5" customHeight="1" x14ac:dyDescent="0.25">
      <c r="A12" s="54" t="s">
        <v>13</v>
      </c>
      <c r="B12" s="54" t="s">
        <v>14</v>
      </c>
      <c r="C12" s="54" t="s">
        <v>15</v>
      </c>
      <c r="D12" s="54" t="s">
        <v>16</v>
      </c>
      <c r="E12" s="54" t="s">
        <v>17</v>
      </c>
      <c r="F12" s="54" t="s">
        <v>18</v>
      </c>
      <c r="G12" s="54" t="s">
        <v>19</v>
      </c>
      <c r="I12" s="47"/>
      <c r="J12" s="48"/>
      <c r="K12" s="49"/>
      <c r="L12" s="49"/>
    </row>
    <row r="13" spans="1:12" ht="14.4" customHeight="1" x14ac:dyDescent="0.25">
      <c r="A13" t="s">
        <v>121</v>
      </c>
      <c r="B13" t="s">
        <v>122</v>
      </c>
      <c r="C13" t="s">
        <v>123</v>
      </c>
      <c r="D13" s="63">
        <v>4.2</v>
      </c>
      <c r="E13" s="63">
        <v>0</v>
      </c>
      <c r="F13" s="64">
        <v>0</v>
      </c>
      <c r="G13" s="63">
        <v>3</v>
      </c>
    </row>
    <row r="14" spans="1:12" ht="14.4" customHeight="1" x14ac:dyDescent="0.25">
      <c r="A14" t="s">
        <v>124</v>
      </c>
      <c r="B14" t="s">
        <v>125</v>
      </c>
      <c r="C14" t="s">
        <v>126</v>
      </c>
      <c r="D14" s="63">
        <v>4.7</v>
      </c>
      <c r="E14" s="82">
        <v>0</v>
      </c>
      <c r="F14">
        <v>0</v>
      </c>
      <c r="G14" s="63">
        <v>3</v>
      </c>
    </row>
    <row r="15" spans="1:12" ht="14.4" customHeight="1" x14ac:dyDescent="0.25">
      <c r="D15" s="63"/>
      <c r="E15" s="82"/>
      <c r="G15" s="63"/>
    </row>
    <row r="16" spans="1:12" ht="14.4" customHeight="1" x14ac:dyDescent="0.25">
      <c r="D16" s="63"/>
      <c r="E16" s="82"/>
      <c r="G16" s="63"/>
    </row>
    <row r="17" spans="1:7" ht="14.4" customHeight="1" x14ac:dyDescent="0.25">
      <c r="D17" s="63"/>
      <c r="E17" s="82"/>
      <c r="G17" s="63"/>
    </row>
    <row r="18" spans="1:7" ht="14.4" customHeight="1" x14ac:dyDescent="0.25">
      <c r="D18" s="63"/>
      <c r="E18" s="82"/>
      <c r="G18" s="63"/>
    </row>
    <row r="19" spans="1:7" ht="14.4" customHeight="1" x14ac:dyDescent="0.25">
      <c r="D19" s="63"/>
      <c r="E19" s="82"/>
      <c r="G19" s="63"/>
    </row>
    <row r="20" spans="1:7" ht="14.4" customHeight="1" x14ac:dyDescent="0.25">
      <c r="A20" s="141" t="s">
        <v>127</v>
      </c>
      <c r="B20" s="141"/>
      <c r="C20" s="141"/>
      <c r="D20" s="141"/>
      <c r="E20" s="82"/>
      <c r="G20" s="63"/>
    </row>
    <row r="21" spans="1:7" ht="14.4" customHeight="1" x14ac:dyDescent="0.25">
      <c r="A21" s="83" t="s">
        <v>128</v>
      </c>
      <c r="B21" s="83" t="s">
        <v>129</v>
      </c>
      <c r="C21" s="83" t="s">
        <v>130</v>
      </c>
      <c r="D21" s="84" t="s">
        <v>131</v>
      </c>
      <c r="E21" s="82"/>
      <c r="G21" s="63"/>
    </row>
    <row r="22" spans="1:7" ht="14.4" customHeight="1" x14ac:dyDescent="0.25">
      <c r="A22" t="s">
        <v>132</v>
      </c>
      <c r="B22" t="s">
        <v>25</v>
      </c>
      <c r="C22" t="s">
        <v>133</v>
      </c>
      <c r="D22" s="63" t="s">
        <v>134</v>
      </c>
      <c r="E22" s="82"/>
      <c r="G22" s="63"/>
    </row>
    <row r="23" spans="1:7" ht="14.4" customHeight="1" x14ac:dyDescent="0.25">
      <c r="D23" s="63"/>
      <c r="E23" s="82"/>
      <c r="G23" s="63"/>
    </row>
    <row r="24" spans="1:7" ht="14.4" customHeight="1" x14ac:dyDescent="0.25">
      <c r="D24" s="63"/>
      <c r="E24" s="82"/>
      <c r="G24" s="63"/>
    </row>
    <row r="25" spans="1:7" ht="14.4" customHeight="1" x14ac:dyDescent="0.25">
      <c r="D25" s="63"/>
      <c r="E25" s="82"/>
      <c r="G25" s="63"/>
    </row>
    <row r="26" spans="1:7" ht="14.4" customHeight="1" x14ac:dyDescent="0.25">
      <c r="D26" s="63"/>
      <c r="E26" s="82"/>
      <c r="G26" s="63"/>
    </row>
    <row r="27" spans="1:7" ht="14.4" customHeight="1" x14ac:dyDescent="0.25">
      <c r="D27" s="63"/>
      <c r="E27" s="82"/>
      <c r="G27" s="63"/>
    </row>
    <row r="28" spans="1:7" ht="14.4" customHeight="1" x14ac:dyDescent="0.25">
      <c r="D28" s="63"/>
      <c r="E28" s="82"/>
      <c r="G28" s="63"/>
    </row>
    <row r="29" spans="1:7" ht="14.4" customHeight="1" x14ac:dyDescent="0.25">
      <c r="D29" s="63"/>
      <c r="E29" s="82"/>
      <c r="G29" s="63"/>
    </row>
    <row r="30" spans="1:7" ht="14.4" customHeight="1" x14ac:dyDescent="0.25">
      <c r="D30" s="63"/>
      <c r="E30" s="82"/>
      <c r="G30" s="63"/>
    </row>
    <row r="31" spans="1:7" ht="14.4" customHeight="1" x14ac:dyDescent="0.25">
      <c r="D31" s="63"/>
      <c r="E31" s="82"/>
      <c r="G31" s="63"/>
    </row>
    <row r="32" spans="1:7" ht="14.4" customHeight="1" x14ac:dyDescent="0.25">
      <c r="D32" s="63"/>
      <c r="E32" s="82"/>
      <c r="G32" s="63"/>
    </row>
    <row r="33" spans="4:7" ht="14.4" customHeight="1" x14ac:dyDescent="0.25">
      <c r="D33" s="63"/>
      <c r="E33" s="82"/>
      <c r="G33" s="63"/>
    </row>
    <row r="34" spans="4:7" ht="14.4" customHeight="1" x14ac:dyDescent="0.25">
      <c r="D34" s="63"/>
      <c r="E34" s="82"/>
      <c r="G34" s="63"/>
    </row>
    <row r="35" spans="4:7" ht="14.4" customHeight="1" x14ac:dyDescent="0.25">
      <c r="D35" s="63"/>
      <c r="E35" s="82"/>
      <c r="G35" s="63"/>
    </row>
    <row r="36" spans="4:7" ht="14.4" customHeight="1" x14ac:dyDescent="0.25">
      <c r="D36" s="63"/>
      <c r="E36" s="82"/>
      <c r="G36" s="63"/>
    </row>
    <row r="37" spans="4:7" ht="14.4" customHeight="1" x14ac:dyDescent="0.25">
      <c r="D37" s="63"/>
      <c r="E37" s="82"/>
      <c r="G37" s="63"/>
    </row>
    <row r="38" spans="4:7" ht="14.4" customHeight="1" x14ac:dyDescent="0.25">
      <c r="D38" s="63"/>
      <c r="E38" s="82"/>
      <c r="G38" s="63"/>
    </row>
    <row r="39" spans="4:7" ht="14.4" customHeight="1" x14ac:dyDescent="0.25">
      <c r="D39" s="63"/>
      <c r="E39" s="82"/>
      <c r="G39" s="63"/>
    </row>
    <row r="40" spans="4:7" ht="14.4" customHeight="1" x14ac:dyDescent="0.25">
      <c r="D40" s="63"/>
      <c r="E40" s="82"/>
      <c r="G40" s="63"/>
    </row>
    <row r="41" spans="4:7" ht="14.4" customHeight="1" x14ac:dyDescent="0.25">
      <c r="D41" s="63"/>
      <c r="E41" s="82"/>
      <c r="G41" s="63"/>
    </row>
    <row r="42" spans="4:7" ht="14.4" customHeight="1" x14ac:dyDescent="0.25">
      <c r="D42" s="63"/>
      <c r="E42" s="82"/>
      <c r="G42" s="63"/>
    </row>
    <row r="43" spans="4:7" ht="14.4" customHeight="1" x14ac:dyDescent="0.25">
      <c r="D43" s="63"/>
      <c r="E43" s="82"/>
      <c r="G43" s="63"/>
    </row>
    <row r="44" spans="4:7" ht="14.4" customHeight="1" x14ac:dyDescent="0.25">
      <c r="D44" s="63"/>
      <c r="E44" s="82"/>
      <c r="G44" s="63"/>
    </row>
    <row r="45" spans="4:7" ht="14.4" customHeight="1" x14ac:dyDescent="0.25">
      <c r="D45" s="63"/>
      <c r="E45" s="82"/>
      <c r="G45" s="63"/>
    </row>
    <row r="46" spans="4:7" ht="14.4" customHeight="1" x14ac:dyDescent="0.25">
      <c r="D46" s="63"/>
      <c r="E46" s="82"/>
      <c r="G46" s="63"/>
    </row>
    <row r="47" spans="4:7" ht="14.4" customHeight="1" x14ac:dyDescent="0.25">
      <c r="D47" s="63"/>
      <c r="E47" s="82"/>
      <c r="G47" s="63"/>
    </row>
    <row r="48" spans="4:7" ht="14.4" customHeight="1" x14ac:dyDescent="0.25">
      <c r="D48" s="63"/>
      <c r="E48" s="82"/>
      <c r="G48" s="63"/>
    </row>
    <row r="49" spans="4:7" ht="14.4" customHeight="1" x14ac:dyDescent="0.25">
      <c r="D49" s="63"/>
      <c r="E49" s="82"/>
      <c r="G49" s="63"/>
    </row>
    <row r="50" spans="4:7" ht="14.4" customHeight="1" x14ac:dyDescent="0.25">
      <c r="D50" s="63"/>
      <c r="E50" s="82"/>
      <c r="G50" s="63"/>
    </row>
    <row r="51" spans="4:7" ht="14.4" customHeight="1" x14ac:dyDescent="0.25">
      <c r="D51" s="63"/>
      <c r="E51" s="82"/>
      <c r="G51" s="63"/>
    </row>
    <row r="52" spans="4:7" ht="14.4" customHeight="1" x14ac:dyDescent="0.25">
      <c r="D52" s="63"/>
      <c r="E52" s="82"/>
      <c r="G52" s="63"/>
    </row>
    <row r="53" spans="4:7" ht="14.4" customHeight="1" x14ac:dyDescent="0.25">
      <c r="D53" s="63"/>
      <c r="E53" s="82"/>
      <c r="G53" s="63"/>
    </row>
    <row r="54" spans="4:7" ht="14.4" customHeight="1" x14ac:dyDescent="0.25">
      <c r="D54" s="63"/>
      <c r="E54" s="82"/>
      <c r="G54" s="63"/>
    </row>
    <row r="55" spans="4:7" ht="14.4" customHeight="1" x14ac:dyDescent="0.25">
      <c r="D55" s="63"/>
      <c r="E55" s="82"/>
      <c r="G55" s="63"/>
    </row>
    <row r="56" spans="4:7" ht="14.4" customHeight="1" x14ac:dyDescent="0.25">
      <c r="D56" s="63"/>
      <c r="E56" s="82"/>
      <c r="G56" s="63"/>
    </row>
    <row r="57" spans="4:7" ht="14.4" customHeight="1" x14ac:dyDescent="0.25">
      <c r="D57" s="63"/>
      <c r="E57" s="82"/>
      <c r="G57" s="63"/>
    </row>
    <row r="58" spans="4:7" ht="14.4" customHeight="1" x14ac:dyDescent="0.25">
      <c r="D58" s="63"/>
      <c r="E58" s="82"/>
      <c r="G58" s="63"/>
    </row>
    <row r="59" spans="4:7" ht="14.4" customHeight="1" x14ac:dyDescent="0.25">
      <c r="D59" s="63"/>
      <c r="E59" s="82"/>
      <c r="G59" s="63"/>
    </row>
    <row r="60" spans="4:7" ht="14.4" customHeight="1" x14ac:dyDescent="0.25">
      <c r="D60" s="63"/>
      <c r="E60" s="82"/>
      <c r="G60" s="63"/>
    </row>
    <row r="61" spans="4:7" ht="14.4" customHeight="1" x14ac:dyDescent="0.25">
      <c r="D61" s="63"/>
      <c r="E61" s="82"/>
      <c r="G61" s="63"/>
    </row>
    <row r="62" spans="4:7" ht="14.4" customHeight="1" x14ac:dyDescent="0.25">
      <c r="D62" s="63"/>
      <c r="E62" s="82"/>
      <c r="G62" s="63"/>
    </row>
    <row r="63" spans="4:7" ht="14.4" customHeight="1" x14ac:dyDescent="0.25">
      <c r="D63" s="63"/>
      <c r="E63" s="82"/>
      <c r="G63" s="63"/>
    </row>
    <row r="64" spans="4:7" ht="14.4" customHeight="1" x14ac:dyDescent="0.25">
      <c r="D64" s="63"/>
      <c r="E64" s="82"/>
      <c r="G64" s="63"/>
    </row>
    <row r="65" spans="1:7" ht="14.4" customHeight="1" x14ac:dyDescent="0.25">
      <c r="D65" s="63"/>
      <c r="E65" s="82"/>
      <c r="G65" s="63"/>
    </row>
    <row r="66" spans="1:7" ht="14.4" customHeight="1" x14ac:dyDescent="0.25">
      <c r="D66" s="63"/>
      <c r="E66" s="82"/>
      <c r="G66" s="63"/>
    </row>
    <row r="67" spans="1:7" ht="14.4" customHeight="1" x14ac:dyDescent="0.25">
      <c r="D67" s="63"/>
      <c r="E67" s="82"/>
      <c r="G67" s="63"/>
    </row>
    <row r="68" spans="1:7" ht="14.4" customHeight="1" x14ac:dyDescent="0.25">
      <c r="D68" s="63"/>
      <c r="E68" s="82"/>
      <c r="G68" s="63"/>
    </row>
    <row r="69" spans="1:7" ht="14.4" customHeight="1" x14ac:dyDescent="0.25">
      <c r="D69" s="63"/>
      <c r="E69" s="82"/>
      <c r="G69" s="63"/>
    </row>
    <row r="70" spans="1:7" ht="14.4" customHeight="1" x14ac:dyDescent="0.25">
      <c r="D70" s="63"/>
      <c r="E70" s="82"/>
      <c r="G70" s="63"/>
    </row>
    <row r="71" spans="1:7" ht="14.4" customHeight="1" x14ac:dyDescent="0.25">
      <c r="D71" s="63"/>
      <c r="E71" s="82"/>
      <c r="G71" s="63"/>
    </row>
    <row r="72" spans="1:7" ht="14.4" customHeight="1" x14ac:dyDescent="0.25">
      <c r="A72" t="s">
        <v>135</v>
      </c>
      <c r="D72" s="63"/>
      <c r="E72" s="82"/>
      <c r="G72" s="63"/>
    </row>
    <row r="73" spans="1:7" ht="14.4" customHeight="1" x14ac:dyDescent="0.25">
      <c r="D73" s="63"/>
      <c r="E73" s="82"/>
      <c r="G73" s="63"/>
    </row>
    <row r="74" spans="1:7" ht="14.4" customHeight="1" x14ac:dyDescent="0.25">
      <c r="D74" s="63"/>
      <c r="E74" s="82"/>
      <c r="G74" s="63"/>
    </row>
    <row r="75" spans="1:7" ht="14.4" customHeight="1" x14ac:dyDescent="0.25">
      <c r="D75" s="63"/>
      <c r="E75" s="82"/>
      <c r="G75" s="63"/>
    </row>
    <row r="76" spans="1:7" ht="14.4" customHeight="1" x14ac:dyDescent="0.25">
      <c r="D76" s="63"/>
      <c r="E76" s="82"/>
      <c r="G76" s="63"/>
    </row>
    <row r="77" spans="1:7" ht="14.4" customHeight="1" x14ac:dyDescent="0.25">
      <c r="D77" s="63"/>
      <c r="E77" s="82"/>
      <c r="G77" s="63"/>
    </row>
    <row r="78" spans="1:7" ht="14.4" customHeight="1" x14ac:dyDescent="0.25">
      <c r="D78" s="63"/>
      <c r="E78" s="82"/>
      <c r="G78" s="63"/>
    </row>
    <row r="79" spans="1:7" ht="14.4" customHeight="1" x14ac:dyDescent="0.25">
      <c r="D79" s="63"/>
      <c r="E79" s="82"/>
      <c r="G79" s="63"/>
    </row>
    <row r="80" spans="1:7" ht="14.4" customHeight="1" x14ac:dyDescent="0.25">
      <c r="D80" s="63"/>
      <c r="E80" s="82"/>
      <c r="G80" s="63"/>
    </row>
    <row r="81" spans="4:7" ht="14.4" customHeight="1" x14ac:dyDescent="0.25">
      <c r="D81" s="63"/>
      <c r="E81" s="82"/>
      <c r="G81" s="63"/>
    </row>
    <row r="82" spans="4:7" ht="14.4" customHeight="1" x14ac:dyDescent="0.25">
      <c r="D82" s="63"/>
      <c r="E82" s="82"/>
      <c r="G82" s="63"/>
    </row>
    <row r="83" spans="4:7" ht="14.4" customHeight="1" x14ac:dyDescent="0.25">
      <c r="D83" s="63"/>
      <c r="E83" s="82"/>
      <c r="G83" s="63"/>
    </row>
    <row r="84" spans="4:7" ht="14.4" customHeight="1" x14ac:dyDescent="0.25">
      <c r="D84" s="63"/>
      <c r="E84" s="82"/>
      <c r="G84" s="63"/>
    </row>
    <row r="85" spans="4:7" ht="14.4" customHeight="1" x14ac:dyDescent="0.25">
      <c r="D85" s="63"/>
      <c r="E85" s="82"/>
      <c r="G85" s="63"/>
    </row>
    <row r="86" spans="4:7" ht="14.4" customHeight="1" x14ac:dyDescent="0.25">
      <c r="D86" s="63"/>
      <c r="E86" s="82"/>
      <c r="G86" s="63"/>
    </row>
    <row r="87" spans="4:7" ht="14.4" customHeight="1" x14ac:dyDescent="0.25">
      <c r="D87" s="63"/>
      <c r="E87" s="82"/>
      <c r="G87" s="63"/>
    </row>
    <row r="88" spans="4:7" ht="14.4" customHeight="1" x14ac:dyDescent="0.25">
      <c r="D88" s="63"/>
      <c r="E88" s="82"/>
      <c r="G88" s="63"/>
    </row>
    <row r="89" spans="4:7" ht="14.4" customHeight="1" x14ac:dyDescent="0.25">
      <c r="D89" s="63"/>
      <c r="E89" s="82"/>
      <c r="G89" s="63"/>
    </row>
    <row r="90" spans="4:7" ht="14.4" customHeight="1" x14ac:dyDescent="0.25">
      <c r="D90" s="63"/>
      <c r="E90" s="82"/>
      <c r="G90" s="63"/>
    </row>
    <row r="91" spans="4:7" ht="14.4" customHeight="1" x14ac:dyDescent="0.25">
      <c r="D91" s="63"/>
      <c r="E91" s="82"/>
      <c r="G91" s="63"/>
    </row>
    <row r="92" spans="4:7" ht="14.4" customHeight="1" x14ac:dyDescent="0.25">
      <c r="D92" s="63"/>
      <c r="E92" s="82"/>
      <c r="G92" s="63"/>
    </row>
    <row r="93" spans="4:7" ht="14.4" customHeight="1" x14ac:dyDescent="0.25">
      <c r="D93" s="63"/>
      <c r="E93" s="82"/>
      <c r="G93" s="63"/>
    </row>
    <row r="94" spans="4:7" ht="14.4" customHeight="1" x14ac:dyDescent="0.25">
      <c r="D94" s="63"/>
      <c r="E94" s="82"/>
      <c r="G94" s="63"/>
    </row>
    <row r="95" spans="4:7" ht="14.4" customHeight="1" x14ac:dyDescent="0.25">
      <c r="D95" s="63"/>
      <c r="E95" s="82"/>
      <c r="G95" s="63"/>
    </row>
    <row r="96" spans="4: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20:D20"/>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5" customWidth="1"/>
    <col min="2" max="2" width="12.109375" style="55" customWidth="1"/>
    <col min="3" max="3" width="13.44140625" style="55" customWidth="1"/>
    <col min="4" max="4" width="10.6640625" style="55" customWidth="1"/>
    <col min="5" max="5" width="13.109375" style="55" customWidth="1"/>
    <col min="6" max="6" width="9.44140625" style="55" customWidth="1"/>
    <col min="7" max="7" width="10.6640625" style="55" customWidth="1"/>
    <col min="8" max="8" width="9.6640625" style="55" customWidth="1"/>
    <col min="9" max="9" width="8.109375" style="55" customWidth="1"/>
    <col min="10" max="10" width="8.33203125" style="55" customWidth="1"/>
  </cols>
  <sheetData>
    <row r="1" spans="1:10" ht="14.25" customHeight="1" x14ac:dyDescent="0.25">
      <c r="A1" s="142" t="s">
        <v>54</v>
      </c>
      <c r="B1" s="118"/>
      <c r="C1" s="118"/>
      <c r="D1" s="118"/>
      <c r="E1" s="118"/>
      <c r="F1" s="118"/>
      <c r="G1" s="118"/>
      <c r="H1" s="118"/>
      <c r="I1" s="118"/>
      <c r="J1" s="118"/>
    </row>
    <row r="2" spans="1:10" x14ac:dyDescent="0.25">
      <c r="A2" s="140" t="s">
        <v>55</v>
      </c>
      <c r="B2" s="118"/>
      <c r="C2" s="118"/>
      <c r="D2" s="118"/>
      <c r="E2" s="118"/>
      <c r="F2" s="118"/>
      <c r="G2" s="143">
        <v>2017</v>
      </c>
      <c r="H2" s="118"/>
      <c r="I2" s="118"/>
      <c r="J2" s="118"/>
    </row>
    <row r="3" spans="1:10" ht="12.75" customHeight="1" x14ac:dyDescent="0.25">
      <c r="A3" s="140" t="s">
        <v>56</v>
      </c>
      <c r="B3" s="118"/>
      <c r="C3" s="140" t="s">
        <v>57</v>
      </c>
      <c r="D3" s="118"/>
      <c r="E3" s="140" t="s">
        <v>58</v>
      </c>
      <c r="F3" s="118"/>
      <c r="G3" s="140" t="s">
        <v>59</v>
      </c>
      <c r="H3" s="118"/>
      <c r="I3" s="140" t="s">
        <v>60</v>
      </c>
      <c r="J3" s="118"/>
    </row>
    <row r="4" spans="1:10" ht="21.6" customHeight="1" x14ac:dyDescent="0.25">
      <c r="A4" s="56" t="s">
        <v>61</v>
      </c>
      <c r="B4" s="85">
        <v>0.88244900000000004</v>
      </c>
      <c r="C4" s="56" t="s">
        <v>36</v>
      </c>
      <c r="D4" s="86">
        <v>1.0042</v>
      </c>
      <c r="E4" s="56" t="s">
        <v>41</v>
      </c>
      <c r="F4" s="85">
        <v>0.82969999999999999</v>
      </c>
      <c r="G4" s="56" t="s">
        <v>42</v>
      </c>
      <c r="H4" s="85">
        <v>8.108499999999999E-2</v>
      </c>
      <c r="I4" s="56"/>
      <c r="J4" s="87"/>
    </row>
    <row r="5" spans="1:10" ht="15.75" customHeight="1" x14ac:dyDescent="0.25">
      <c r="A5" s="56" t="s">
        <v>62</v>
      </c>
      <c r="B5" s="85">
        <v>0.837951</v>
      </c>
      <c r="C5" s="56" t="s">
        <v>63</v>
      </c>
      <c r="D5" s="86">
        <v>0.56320000000000003</v>
      </c>
      <c r="E5" s="56" t="s">
        <v>64</v>
      </c>
      <c r="F5" s="86">
        <v>5.83</v>
      </c>
      <c r="G5" s="56" t="s">
        <v>65</v>
      </c>
      <c r="H5" s="85">
        <v>5.3200999999999998E-2</v>
      </c>
      <c r="I5" s="56"/>
      <c r="J5" s="87"/>
    </row>
    <row r="6" spans="1:10" ht="15" customHeight="1" x14ac:dyDescent="0.25">
      <c r="A6" s="56" t="s">
        <v>66</v>
      </c>
      <c r="B6" s="85">
        <v>0.94555699999999998</v>
      </c>
      <c r="C6" s="56" t="s">
        <v>39</v>
      </c>
      <c r="D6" s="88">
        <v>6.0900000000000003E-2</v>
      </c>
      <c r="E6" s="56" t="s">
        <v>67</v>
      </c>
      <c r="F6" s="86">
        <v>2.2464</v>
      </c>
      <c r="G6" s="56" t="s">
        <v>45</v>
      </c>
      <c r="H6" s="85">
        <v>0.27393800000000001</v>
      </c>
      <c r="I6" s="56"/>
      <c r="J6" s="87"/>
    </row>
    <row r="7" spans="1:10" ht="14.25" customHeight="1" x14ac:dyDescent="0.25">
      <c r="A7" s="56" t="s">
        <v>38</v>
      </c>
      <c r="B7" s="88">
        <v>2.0724455735616822</v>
      </c>
      <c r="C7" s="56" t="s">
        <v>68</v>
      </c>
      <c r="D7" s="88">
        <v>5.9044999999999996</v>
      </c>
      <c r="E7" s="56" t="s">
        <v>69</v>
      </c>
      <c r="F7" s="86">
        <v>1.0504</v>
      </c>
      <c r="G7" s="56" t="s">
        <v>70</v>
      </c>
      <c r="H7" s="85">
        <v>5.4566999999999997E-2</v>
      </c>
      <c r="I7" s="56"/>
      <c r="J7" s="87"/>
    </row>
    <row r="8" spans="1:10" x14ac:dyDescent="0.25">
      <c r="A8" s="56"/>
      <c r="B8" s="89"/>
      <c r="C8" s="56"/>
      <c r="D8" s="90"/>
      <c r="E8" s="56" t="s">
        <v>71</v>
      </c>
      <c r="F8" s="86">
        <v>0.86119999999999997</v>
      </c>
      <c r="G8" s="56"/>
      <c r="H8" s="89"/>
      <c r="I8" s="56"/>
      <c r="J8" s="89"/>
    </row>
    <row r="9" spans="1:10" ht="13.5" customHeight="1" x14ac:dyDescent="0.25">
      <c r="A9" s="142" t="s">
        <v>72</v>
      </c>
      <c r="B9" s="118"/>
      <c r="C9" s="118"/>
      <c r="D9" s="118"/>
      <c r="E9" s="118"/>
      <c r="F9" s="118"/>
      <c r="G9" s="118"/>
      <c r="H9" s="118"/>
      <c r="I9" s="118"/>
      <c r="J9" s="118"/>
    </row>
    <row r="10" spans="1:10" ht="13.5" customHeight="1" x14ac:dyDescent="0.25">
      <c r="A10" s="140" t="s">
        <v>73</v>
      </c>
      <c r="B10" s="118"/>
      <c r="C10" s="118"/>
      <c r="D10" s="118"/>
      <c r="E10" s="118"/>
      <c r="F10" s="118"/>
      <c r="G10" s="144">
        <v>2017</v>
      </c>
      <c r="H10" s="118"/>
      <c r="I10" s="118"/>
      <c r="J10" s="118"/>
    </row>
    <row r="11" spans="1:10" x14ac:dyDescent="0.25">
      <c r="A11" s="140" t="s">
        <v>74</v>
      </c>
      <c r="B11" s="118"/>
      <c r="C11" s="140" t="s">
        <v>75</v>
      </c>
      <c r="D11" s="118"/>
      <c r="E11" s="140" t="s">
        <v>76</v>
      </c>
      <c r="F11" s="118"/>
      <c r="G11" s="118"/>
      <c r="H11" s="118"/>
      <c r="I11" s="118"/>
      <c r="J11" s="118"/>
    </row>
    <row r="12" spans="1:10" ht="14.25" customHeight="1" x14ac:dyDescent="0.25">
      <c r="A12" s="56" t="s">
        <v>77</v>
      </c>
      <c r="B12" s="91">
        <v>34.247489125800001</v>
      </c>
      <c r="C12" s="56" t="s">
        <v>78</v>
      </c>
      <c r="D12" s="88">
        <v>158.28077026299999</v>
      </c>
      <c r="E12" s="145" t="s">
        <v>79</v>
      </c>
      <c r="F12" s="118"/>
      <c r="G12" s="118"/>
      <c r="H12" s="146">
        <v>131.32980300599999</v>
      </c>
      <c r="I12" s="118"/>
      <c r="J12" s="118"/>
    </row>
    <row r="13" spans="1:10" ht="14.25" customHeight="1" x14ac:dyDescent="0.25">
      <c r="A13" s="56" t="s">
        <v>80</v>
      </c>
      <c r="B13" s="91">
        <v>25.6689367886</v>
      </c>
      <c r="C13" s="56" t="s">
        <v>81</v>
      </c>
      <c r="D13" s="88">
        <v>151.99179941030002</v>
      </c>
      <c r="E13" s="145" t="s">
        <v>82</v>
      </c>
      <c r="F13" s="118"/>
      <c r="G13" s="118"/>
      <c r="H13" s="146">
        <v>9.6907481459000007</v>
      </c>
      <c r="I13" s="118"/>
      <c r="J13" s="118"/>
    </row>
    <row r="14" spans="1:10" ht="14.25" customHeight="1" x14ac:dyDescent="0.25">
      <c r="A14" s="56" t="s">
        <v>83</v>
      </c>
      <c r="B14" s="91">
        <v>15.012526344400001</v>
      </c>
      <c r="C14" s="56" t="s">
        <v>84</v>
      </c>
      <c r="D14" s="88">
        <v>145.44653516130001</v>
      </c>
      <c r="E14" s="145" t="s">
        <v>85</v>
      </c>
      <c r="F14" s="118"/>
      <c r="G14" s="118"/>
      <c r="H14" s="146">
        <v>141.02059115189999</v>
      </c>
      <c r="I14" s="118"/>
      <c r="J14" s="118"/>
    </row>
    <row r="15" spans="1:10" ht="14.25" customHeight="1" x14ac:dyDescent="0.25">
      <c r="A15" s="56" t="s">
        <v>86</v>
      </c>
      <c r="B15" s="91">
        <v>7.8581867225000002</v>
      </c>
      <c r="C15" s="56" t="s">
        <v>87</v>
      </c>
      <c r="D15" s="88">
        <v>0</v>
      </c>
      <c r="E15" s="145" t="s">
        <v>88</v>
      </c>
      <c r="F15" s="118"/>
      <c r="G15" s="118"/>
      <c r="H15" s="146">
        <v>116.84150333700001</v>
      </c>
      <c r="I15" s="118"/>
      <c r="J15" s="118"/>
    </row>
    <row r="16" spans="1:10" ht="14.25" customHeight="1" x14ac:dyDescent="0.25">
      <c r="A16" s="56" t="s">
        <v>89</v>
      </c>
      <c r="B16" s="91">
        <v>0.45328924479999999</v>
      </c>
      <c r="C16" s="56" t="s">
        <v>90</v>
      </c>
      <c r="D16" s="88">
        <v>3.3759367726999998</v>
      </c>
      <c r="E16" s="145" t="s">
        <v>91</v>
      </c>
      <c r="F16" s="118"/>
      <c r="G16" s="118"/>
      <c r="H16" s="146">
        <v>10.4493335421</v>
      </c>
      <c r="I16" s="118"/>
      <c r="J16" s="118"/>
    </row>
    <row r="17" spans="1:10" ht="14.25" customHeight="1" x14ac:dyDescent="0.25">
      <c r="A17" s="56" t="s">
        <v>92</v>
      </c>
      <c r="B17" s="91">
        <v>0.72976739680000002</v>
      </c>
      <c r="C17" s="56" t="s">
        <v>93</v>
      </c>
      <c r="D17" s="88">
        <v>1.8428227884000001</v>
      </c>
      <c r="E17" s="145" t="s">
        <v>94</v>
      </c>
      <c r="F17" s="118"/>
      <c r="G17" s="118"/>
      <c r="H17" s="146">
        <v>142.6224027335</v>
      </c>
      <c r="I17" s="118"/>
      <c r="J17" s="118"/>
    </row>
    <row r="18" spans="1:10" ht="14.25" customHeight="1" x14ac:dyDescent="0.25">
      <c r="A18" s="56" t="s">
        <v>95</v>
      </c>
      <c r="B18" s="91">
        <v>209.39138524669997</v>
      </c>
      <c r="C18" s="56" t="s">
        <v>96</v>
      </c>
      <c r="D18" s="88">
        <v>8.420770019299999</v>
      </c>
      <c r="E18" s="145" t="s">
        <v>97</v>
      </c>
      <c r="F18" s="118"/>
      <c r="G18" s="118"/>
      <c r="H18" s="146">
        <v>-1.6018115816</v>
      </c>
      <c r="I18" s="118"/>
      <c r="J18" s="118"/>
    </row>
    <row r="19" spans="1:10" ht="14.25" customHeight="1" x14ac:dyDescent="0.25">
      <c r="A19" s="56" t="s">
        <v>98</v>
      </c>
      <c r="B19" s="91">
        <v>26.6</v>
      </c>
      <c r="C19" s="56" t="s">
        <v>99</v>
      </c>
      <c r="D19" s="88">
        <v>8.3307393435999995</v>
      </c>
      <c r="E19" s="145" t="s">
        <v>100</v>
      </c>
      <c r="F19" s="118"/>
      <c r="G19" s="118"/>
      <c r="H19" s="146">
        <v>-2.4460105548</v>
      </c>
      <c r="I19" s="118"/>
      <c r="J19" s="118"/>
    </row>
    <row r="20" spans="1:10" ht="27" customHeight="1" x14ac:dyDescent="0.25">
      <c r="A20" s="56" t="s">
        <v>101</v>
      </c>
      <c r="B20" s="91">
        <v>14.132830361199998</v>
      </c>
      <c r="C20" s="56" t="s">
        <v>43</v>
      </c>
      <c r="D20" s="88">
        <v>6.1462208721000007</v>
      </c>
      <c r="E20" s="145" t="s">
        <v>102</v>
      </c>
      <c r="F20" s="118"/>
      <c r="G20" s="118"/>
      <c r="H20" s="146">
        <v>9.8000000000000004E-2</v>
      </c>
      <c r="I20" s="118"/>
      <c r="J20" s="118"/>
    </row>
    <row r="21" spans="1:10" ht="16.5" customHeight="1" x14ac:dyDescent="0.25">
      <c r="A21" s="56" t="s">
        <v>103</v>
      </c>
      <c r="B21" s="91">
        <v>0</v>
      </c>
      <c r="C21" s="56"/>
      <c r="D21" s="92"/>
      <c r="E21" s="145" t="s">
        <v>104</v>
      </c>
      <c r="F21" s="118"/>
      <c r="G21" s="118"/>
      <c r="H21" s="146">
        <v>39.922642889999999</v>
      </c>
      <c r="I21" s="118"/>
      <c r="J21" s="118"/>
    </row>
    <row r="22" spans="1:10" ht="14.25" customHeight="1" x14ac:dyDescent="0.25">
      <c r="A22" s="56" t="s">
        <v>105</v>
      </c>
      <c r="B22" s="91">
        <v>10.0598125288</v>
      </c>
      <c r="C22" s="56"/>
      <c r="D22" s="92"/>
      <c r="E22" s="145" t="s">
        <v>106</v>
      </c>
      <c r="F22" s="118"/>
      <c r="G22" s="118"/>
      <c r="H22" s="146">
        <v>0</v>
      </c>
      <c r="I22" s="118"/>
      <c r="J22" s="118"/>
    </row>
    <row r="23" spans="1:10" ht="14.25" customHeight="1" x14ac:dyDescent="0.25">
      <c r="A23" s="56" t="s">
        <v>107</v>
      </c>
      <c r="B23" s="91">
        <v>0</v>
      </c>
      <c r="C23" s="56"/>
      <c r="D23" s="92"/>
      <c r="E23" s="145" t="s">
        <v>108</v>
      </c>
      <c r="F23" s="118"/>
      <c r="G23" s="118"/>
      <c r="H23" s="146">
        <v>40.020642889999998</v>
      </c>
      <c r="I23" s="118"/>
      <c r="J23" s="118"/>
    </row>
    <row r="24" spans="1:10" ht="14.25" customHeight="1" x14ac:dyDescent="0.25">
      <c r="A24" s="56" t="s">
        <v>109</v>
      </c>
      <c r="B24" s="91">
        <v>184.77728913519999</v>
      </c>
      <c r="C24" s="93"/>
      <c r="D24" s="90"/>
      <c r="E24" s="145" t="s">
        <v>110</v>
      </c>
      <c r="F24" s="118"/>
      <c r="G24" s="118"/>
      <c r="H24" s="146">
        <v>25.72</v>
      </c>
      <c r="I24" s="118"/>
      <c r="J24" s="118"/>
    </row>
    <row r="25" spans="1:10" ht="14.25" customHeight="1" x14ac:dyDescent="0.25">
      <c r="A25" s="56" t="s">
        <v>111</v>
      </c>
      <c r="B25" s="91">
        <v>24.6140961115</v>
      </c>
      <c r="C25" s="93"/>
      <c r="D25" s="90"/>
      <c r="E25" s="145" t="s">
        <v>112</v>
      </c>
      <c r="F25" s="118"/>
      <c r="G25" s="118"/>
      <c r="H25" s="146">
        <v>28.805255140500002</v>
      </c>
      <c r="I25" s="118"/>
      <c r="J25" s="118"/>
    </row>
    <row r="26" spans="1:10" ht="14.25" customHeight="1" x14ac:dyDescent="0.25">
      <c r="A26" s="94" t="s">
        <v>113</v>
      </c>
      <c r="B26" s="91">
        <v>209.39138524669997</v>
      </c>
      <c r="C26" s="93"/>
      <c r="D26" s="90"/>
      <c r="E26" s="145" t="s">
        <v>114</v>
      </c>
      <c r="F26" s="118"/>
      <c r="G26" s="118"/>
      <c r="H26" s="146">
        <v>11.2153877495</v>
      </c>
      <c r="I26" s="118"/>
      <c r="J26" s="118"/>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5" customWidth="1"/>
    <col min="2" max="2" width="9.6640625" style="55" customWidth="1"/>
    <col min="3" max="3" width="9.88671875" style="55" customWidth="1"/>
    <col min="4" max="4" width="10.6640625" style="55" customWidth="1"/>
    <col min="5" max="5" width="10.88671875" style="55" customWidth="1"/>
    <col min="6" max="6" width="10.109375" style="55" customWidth="1"/>
    <col min="7" max="7" width="10.77734375" style="55" customWidth="1"/>
    <col min="8" max="8" width="13.109375" style="55" customWidth="1"/>
    <col min="9" max="10" width="12.21875" style="55" customWidth="1"/>
  </cols>
  <sheetData>
    <row r="1" spans="1:10" x14ac:dyDescent="0.25">
      <c r="A1" s="121" t="s">
        <v>136</v>
      </c>
      <c r="B1" s="122"/>
      <c r="C1" s="122"/>
      <c r="D1" s="122"/>
      <c r="E1" s="122"/>
      <c r="F1" s="122"/>
      <c r="G1" s="122"/>
      <c r="H1" s="122"/>
      <c r="I1" s="122"/>
    </row>
    <row r="2" spans="1:10" ht="46.5" customHeight="1" x14ac:dyDescent="0.25">
      <c r="A2" s="53" t="s">
        <v>22</v>
      </c>
      <c r="B2" s="43" t="s">
        <v>206</v>
      </c>
      <c r="C2" s="43" t="s">
        <v>137</v>
      </c>
      <c r="D2" s="43" t="s">
        <v>159</v>
      </c>
      <c r="E2" s="43" t="s">
        <v>214</v>
      </c>
      <c r="F2" s="43" t="s">
        <v>215</v>
      </c>
      <c r="G2" s="43" t="s">
        <v>216</v>
      </c>
      <c r="H2" s="43" t="s">
        <v>217</v>
      </c>
      <c r="I2" s="43" t="s">
        <v>218</v>
      </c>
      <c r="J2" s="43" t="s">
        <v>219</v>
      </c>
    </row>
    <row r="3" spans="1:10" x14ac:dyDescent="0.25">
      <c r="A3" s="53" t="s">
        <v>24</v>
      </c>
      <c r="B3" s="96" t="s">
        <v>25</v>
      </c>
      <c r="C3" s="97" t="s">
        <v>138</v>
      </c>
      <c r="D3" s="96" t="s">
        <v>25</v>
      </c>
      <c r="E3" s="96" t="s">
        <v>25</v>
      </c>
      <c r="F3" s="96" t="s">
        <v>25</v>
      </c>
      <c r="G3" s="96" t="s">
        <v>25</v>
      </c>
      <c r="H3" s="96" t="s">
        <v>25</v>
      </c>
      <c r="I3" s="96" t="s">
        <v>25</v>
      </c>
      <c r="J3" s="96" t="s">
        <v>25</v>
      </c>
    </row>
    <row r="4" spans="1:10" s="7" customFormat="1" ht="21.6" x14ac:dyDescent="0.25">
      <c r="A4" s="9" t="s">
        <v>3</v>
      </c>
      <c r="B4" s="98" t="s">
        <v>207</v>
      </c>
      <c r="C4" s="97" t="s">
        <v>138</v>
      </c>
      <c r="D4" s="98" t="s">
        <v>220</v>
      </c>
      <c r="E4" s="98" t="s">
        <v>220</v>
      </c>
      <c r="F4" s="98" t="s">
        <v>221</v>
      </c>
      <c r="G4" s="98" t="s">
        <v>207</v>
      </c>
      <c r="H4" s="98" t="s">
        <v>220</v>
      </c>
      <c r="I4" s="98" t="s">
        <v>207</v>
      </c>
      <c r="J4" s="98" t="s">
        <v>207</v>
      </c>
    </row>
    <row r="5" spans="1:10" s="7" customFormat="1" x14ac:dyDescent="0.25">
      <c r="A5" s="9" t="s">
        <v>29</v>
      </c>
      <c r="B5" s="99" t="s">
        <v>30</v>
      </c>
      <c r="C5" s="97" t="s">
        <v>138</v>
      </c>
      <c r="D5" s="99" t="s">
        <v>30</v>
      </c>
      <c r="E5" s="99" t="s">
        <v>30</v>
      </c>
      <c r="F5" s="99" t="s">
        <v>30</v>
      </c>
      <c r="G5" s="99" t="s">
        <v>30</v>
      </c>
      <c r="H5" s="99" t="s">
        <v>30</v>
      </c>
      <c r="I5" s="99" t="s">
        <v>30</v>
      </c>
      <c r="J5" s="99" t="s">
        <v>30</v>
      </c>
    </row>
    <row r="6" spans="1:10" x14ac:dyDescent="0.25">
      <c r="A6" s="53" t="s">
        <v>32</v>
      </c>
      <c r="B6" s="100">
        <v>209.39138524669997</v>
      </c>
      <c r="C6" s="97">
        <v>412.72511044245715</v>
      </c>
      <c r="D6" s="100">
        <v>497.84970597</v>
      </c>
      <c r="E6" s="100">
        <v>367.69004121709997</v>
      </c>
      <c r="F6" s="100">
        <v>317.6184151535</v>
      </c>
      <c r="G6" s="100">
        <v>666.46489170799998</v>
      </c>
      <c r="H6" s="100">
        <v>276.10626915</v>
      </c>
      <c r="I6" s="100">
        <v>270.34709964119997</v>
      </c>
      <c r="J6" s="100">
        <v>492.99935025739995</v>
      </c>
    </row>
    <row r="7" spans="1:10" x14ac:dyDescent="0.25">
      <c r="A7" s="53" t="s">
        <v>34</v>
      </c>
      <c r="B7" s="44">
        <v>0.88244900000000004</v>
      </c>
      <c r="C7" s="97">
        <v>0.70980128571428569</v>
      </c>
      <c r="D7" s="44">
        <v>0.76867300000000005</v>
      </c>
      <c r="E7" s="44">
        <v>0.39905400000000002</v>
      </c>
      <c r="F7" s="44">
        <v>0.79793599999999998</v>
      </c>
      <c r="G7" s="44">
        <v>0.84159000000000006</v>
      </c>
      <c r="H7" s="44">
        <v>0.69523100000000004</v>
      </c>
      <c r="I7" s="44">
        <v>0.63966699999999999</v>
      </c>
      <c r="J7" s="44">
        <v>0.82645799999999991</v>
      </c>
    </row>
    <row r="8" spans="1:10" x14ac:dyDescent="0.25">
      <c r="A8" s="53" t="s">
        <v>36</v>
      </c>
      <c r="B8" s="100">
        <v>1.0042</v>
      </c>
      <c r="C8" s="97">
        <v>1.5075428571428571</v>
      </c>
      <c r="D8" s="100">
        <v>1.3344</v>
      </c>
      <c r="E8" s="100">
        <v>1.7282999999999999</v>
      </c>
      <c r="F8" s="100">
        <v>1.0226</v>
      </c>
      <c r="G8" s="100">
        <v>1.1882999999999999</v>
      </c>
      <c r="H8" s="100">
        <v>2.0234000000000001</v>
      </c>
      <c r="I8" s="100">
        <v>2.0947</v>
      </c>
      <c r="J8" s="100">
        <v>1.1611</v>
      </c>
    </row>
    <row r="9" spans="1:10" x14ac:dyDescent="0.25">
      <c r="A9" s="53" t="s">
        <v>38</v>
      </c>
      <c r="B9" s="96">
        <v>2.0724455735616822</v>
      </c>
      <c r="C9" s="97">
        <v>1.2928650718204711</v>
      </c>
      <c r="D9" s="96">
        <v>0.56458343068774852</v>
      </c>
      <c r="E9" s="96">
        <v>0.6086691199434614</v>
      </c>
      <c r="F9" s="96">
        <v>1.2965891639230036</v>
      </c>
      <c r="G9" s="96">
        <v>3.1980867978813179</v>
      </c>
      <c r="H9" s="96">
        <v>1.2766877188514207</v>
      </c>
      <c r="I9" s="96">
        <v>0.7607614252640863</v>
      </c>
      <c r="J9" s="96">
        <v>1.3446778461922579</v>
      </c>
    </row>
    <row r="10" spans="1:10" ht="21.6" customHeight="1" x14ac:dyDescent="0.25">
      <c r="A10" s="53" t="s">
        <v>39</v>
      </c>
      <c r="B10" s="100">
        <v>6.0900000000000003E-2</v>
      </c>
      <c r="C10" s="97">
        <v>9.2642857142857138E-2</v>
      </c>
      <c r="D10" s="100">
        <v>3.1E-2</v>
      </c>
      <c r="E10" s="100">
        <v>0.26650000000000001</v>
      </c>
      <c r="F10" s="100">
        <v>5.8999999999999997E-2</v>
      </c>
      <c r="G10" s="100">
        <v>3.0499999999999999E-2</v>
      </c>
      <c r="H10" s="100">
        <v>0.12180000000000001</v>
      </c>
      <c r="I10" s="100">
        <v>9.8100000000000007E-2</v>
      </c>
      <c r="J10" s="100">
        <v>4.1599999999999998E-2</v>
      </c>
    </row>
    <row r="11" spans="1:10" x14ac:dyDescent="0.25">
      <c r="A11" s="53" t="s">
        <v>40</v>
      </c>
      <c r="B11" s="100">
        <v>158.28077026299999</v>
      </c>
      <c r="C11" s="97">
        <v>252.47674972432856</v>
      </c>
      <c r="D11" s="100">
        <v>291.93474149240001</v>
      </c>
      <c r="E11" s="100">
        <v>91.227972054299997</v>
      </c>
      <c r="F11" s="100">
        <v>205.35821792109999</v>
      </c>
      <c r="G11" s="100">
        <v>418.21845173999998</v>
      </c>
      <c r="H11" s="100">
        <v>207.59348250299999</v>
      </c>
      <c r="I11" s="100">
        <v>50.730675980200004</v>
      </c>
      <c r="J11" s="100">
        <v>502.27370637929999</v>
      </c>
    </row>
    <row r="12" spans="1:10" s="7" customFormat="1" x14ac:dyDescent="0.25">
      <c r="A12" s="9" t="s">
        <v>41</v>
      </c>
      <c r="B12" s="45">
        <v>0.82969999999999999</v>
      </c>
      <c r="C12" s="97">
        <v>0.95827142857142866</v>
      </c>
      <c r="D12" s="45">
        <v>1.0214000000000001</v>
      </c>
      <c r="E12" s="45">
        <v>1.0204</v>
      </c>
      <c r="F12" s="45">
        <v>0.92749999999999999</v>
      </c>
      <c r="G12" s="45">
        <v>0.93899999999999995</v>
      </c>
      <c r="H12" s="45">
        <v>0.99319999999999997</v>
      </c>
      <c r="I12" s="45">
        <v>0.79820000000000002</v>
      </c>
      <c r="J12" s="45">
        <v>1.0082</v>
      </c>
    </row>
    <row r="13" spans="1:10" s="7" customFormat="1" x14ac:dyDescent="0.25">
      <c r="A13" s="9" t="s">
        <v>42</v>
      </c>
      <c r="B13" s="45">
        <v>8.108499999999999E-2</v>
      </c>
      <c r="C13" s="97">
        <v>0.21374899999999999</v>
      </c>
      <c r="D13" s="45">
        <v>5.9711E-2</v>
      </c>
      <c r="E13" s="45">
        <v>0.48618699999999998</v>
      </c>
      <c r="F13" s="45">
        <v>0.10917500000000001</v>
      </c>
      <c r="G13" s="45">
        <v>0.103378</v>
      </c>
      <c r="H13" s="45">
        <v>0.11232300000000001</v>
      </c>
      <c r="I13" s="45">
        <v>0.55677900000000002</v>
      </c>
      <c r="J13" s="45">
        <v>6.8690000000000001E-2</v>
      </c>
    </row>
    <row r="14" spans="1:10" s="7" customFormat="1" x14ac:dyDescent="0.25">
      <c r="A14" s="9" t="s">
        <v>43</v>
      </c>
      <c r="B14" s="101">
        <v>6.1462208721000007</v>
      </c>
      <c r="C14" s="97">
        <v>10.911847217671431</v>
      </c>
      <c r="D14" s="101">
        <v>8.0968784081000003</v>
      </c>
      <c r="E14" s="101">
        <v>23.488013381199998</v>
      </c>
      <c r="F14" s="101">
        <v>6.3652337204</v>
      </c>
      <c r="G14" s="101">
        <v>5.8280727723000005</v>
      </c>
      <c r="H14" s="101">
        <v>13.977235972599999</v>
      </c>
      <c r="I14" s="101">
        <v>12.448949281500001</v>
      </c>
      <c r="J14" s="101">
        <v>6.1785469875999999</v>
      </c>
    </row>
    <row r="15" spans="1:10" x14ac:dyDescent="0.25">
      <c r="A15" s="53" t="s">
        <v>45</v>
      </c>
      <c r="B15" s="44">
        <v>0.27393800000000001</v>
      </c>
      <c r="C15" s="97">
        <v>9.8334285714285721E-2</v>
      </c>
      <c r="D15" s="44">
        <v>7.2689000000000004E-2</v>
      </c>
      <c r="E15" s="44">
        <v>7.1392999999999998E-2</v>
      </c>
      <c r="F15" s="44">
        <v>0.111497</v>
      </c>
      <c r="G15" s="44">
        <v>4.7926000000000003E-2</v>
      </c>
      <c r="H15" s="44">
        <v>0.17203199999999999</v>
      </c>
      <c r="I15" s="44">
        <v>0.137491</v>
      </c>
      <c r="J15" s="44">
        <v>7.5312000000000004E-2</v>
      </c>
    </row>
    <row r="16" spans="1:10" s="7" customFormat="1" ht="25.8" customHeight="1" x14ac:dyDescent="0.25">
      <c r="A16" s="9" t="s">
        <v>46</v>
      </c>
      <c r="B16" s="101">
        <v>-1.6018115816</v>
      </c>
      <c r="C16" s="97">
        <v>-4.4227456779571428</v>
      </c>
      <c r="D16" s="101">
        <v>-6.8080245203</v>
      </c>
      <c r="E16" s="101">
        <v>16.288406931500003</v>
      </c>
      <c r="F16" s="101">
        <v>10.030671486299999</v>
      </c>
      <c r="G16" s="101">
        <v>-40.833760383699996</v>
      </c>
      <c r="H16" s="101">
        <v>2.4955644101000001</v>
      </c>
      <c r="I16" s="101">
        <v>-2.4042997257000001</v>
      </c>
      <c r="J16" s="101">
        <v>-9.7277779438999996</v>
      </c>
    </row>
    <row r="17" spans="1:10" x14ac:dyDescent="0.25">
      <c r="A17" s="53" t="s">
        <v>60</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0"/>
  <sheetViews>
    <sheetView workbookViewId="0">
      <selection activeCell="D11" sqref="D11"/>
    </sheetView>
  </sheetViews>
  <sheetFormatPr defaultColWidth="8.88671875" defaultRowHeight="14.4" x14ac:dyDescent="0.25"/>
  <cols>
    <col min="1" max="1" width="15.6640625" style="25" customWidth="1"/>
    <col min="2" max="2" width="15.21875" style="55" customWidth="1"/>
    <col min="3" max="4" width="18.88671875" style="55" customWidth="1"/>
    <col min="5" max="5" width="15.109375" style="55" customWidth="1"/>
    <col min="6" max="6" width="51" style="55" customWidth="1"/>
  </cols>
  <sheetData>
    <row r="1" spans="1:6" x14ac:dyDescent="0.25">
      <c r="A1" s="147" t="s">
        <v>139</v>
      </c>
      <c r="B1" s="122"/>
      <c r="C1" s="122"/>
      <c r="D1" s="122"/>
      <c r="E1" s="122"/>
      <c r="F1" s="122"/>
    </row>
    <row r="2" spans="1:6" x14ac:dyDescent="0.25">
      <c r="A2" s="51" t="s">
        <v>140</v>
      </c>
      <c r="B2" s="50" t="s">
        <v>141</v>
      </c>
      <c r="C2" s="50" t="s">
        <v>142</v>
      </c>
      <c r="D2" s="50" t="s">
        <v>143</v>
      </c>
      <c r="E2" s="50" t="s">
        <v>131</v>
      </c>
      <c r="F2" s="50" t="s">
        <v>144</v>
      </c>
    </row>
    <row r="3" spans="1:6" ht="48" customHeight="1" x14ac:dyDescent="0.25">
      <c r="A3" s="103">
        <v>43497</v>
      </c>
      <c r="B3" s="52" t="s">
        <v>145</v>
      </c>
      <c r="C3" s="104" t="s">
        <v>146</v>
      </c>
      <c r="D3" s="104"/>
      <c r="E3" s="52" t="s">
        <v>147</v>
      </c>
      <c r="F3" s="104" t="s">
        <v>148</v>
      </c>
    </row>
    <row r="4" spans="1:6" ht="49.5" customHeight="1" x14ac:dyDescent="0.25">
      <c r="A4" s="103">
        <v>43392</v>
      </c>
      <c r="B4" s="52" t="s">
        <v>149</v>
      </c>
      <c r="C4" s="104"/>
      <c r="D4" s="104" t="s">
        <v>150</v>
      </c>
      <c r="E4" s="52" t="s">
        <v>151</v>
      </c>
      <c r="F4" s="104"/>
    </row>
    <row r="5" spans="1:6" ht="57" x14ac:dyDescent="0.25">
      <c r="A5" s="103">
        <v>43307</v>
      </c>
      <c r="B5" s="52" t="s">
        <v>152</v>
      </c>
      <c r="C5" s="104"/>
      <c r="D5" s="104" t="s">
        <v>153</v>
      </c>
      <c r="E5" s="52" t="s">
        <v>147</v>
      </c>
      <c r="F5" s="104" t="s">
        <v>154</v>
      </c>
    </row>
    <row r="6" spans="1:6" ht="125.4" x14ac:dyDescent="0.25">
      <c r="A6" s="103">
        <v>43307</v>
      </c>
      <c r="B6" s="52" t="s">
        <v>155</v>
      </c>
      <c r="C6" s="104" t="s">
        <v>156</v>
      </c>
      <c r="D6" s="104"/>
      <c r="E6" s="52" t="s">
        <v>157</v>
      </c>
      <c r="F6" s="104" t="s">
        <v>158</v>
      </c>
    </row>
    <row r="7" spans="1:6" ht="57" x14ac:dyDescent="0.25">
      <c r="A7" s="103">
        <v>43307</v>
      </c>
      <c r="B7" s="52" t="s">
        <v>159</v>
      </c>
      <c r="C7" s="104" t="s">
        <v>156</v>
      </c>
      <c r="D7" s="104"/>
      <c r="E7" s="52" t="s">
        <v>160</v>
      </c>
      <c r="F7" s="104" t="s">
        <v>161</v>
      </c>
    </row>
    <row r="8" spans="1:6" ht="34.200000000000003" x14ac:dyDescent="0.25">
      <c r="A8" s="103">
        <v>43306</v>
      </c>
      <c r="B8" s="52" t="s">
        <v>162</v>
      </c>
      <c r="C8" s="104" t="s">
        <v>163</v>
      </c>
      <c r="D8" s="104"/>
      <c r="E8" s="52" t="s">
        <v>160</v>
      </c>
      <c r="F8" s="104" t="s">
        <v>164</v>
      </c>
    </row>
    <row r="9" spans="1:6" ht="45.6" x14ac:dyDescent="0.25">
      <c r="A9" s="103">
        <v>43277</v>
      </c>
      <c r="B9" s="52" t="s">
        <v>165</v>
      </c>
      <c r="C9" s="104" t="s">
        <v>156</v>
      </c>
      <c r="D9" s="104"/>
      <c r="E9" s="52" t="s">
        <v>166</v>
      </c>
      <c r="F9" s="104" t="s">
        <v>167</v>
      </c>
    </row>
    <row r="10" spans="1:6" ht="57" x14ac:dyDescent="0.25">
      <c r="A10" s="103">
        <v>43271</v>
      </c>
      <c r="B10" s="52" t="s">
        <v>168</v>
      </c>
      <c r="C10" s="104" t="s">
        <v>163</v>
      </c>
      <c r="D10" s="104"/>
      <c r="E10" s="52" t="s">
        <v>147</v>
      </c>
      <c r="F10" s="104" t="s">
        <v>169</v>
      </c>
    </row>
    <row r="11" spans="1:6" ht="22.8" x14ac:dyDescent="0.25">
      <c r="A11" s="103">
        <v>43256</v>
      </c>
      <c r="B11" s="52" t="s">
        <v>170</v>
      </c>
      <c r="C11" s="104" t="s">
        <v>163</v>
      </c>
      <c r="D11" s="104"/>
      <c r="E11" s="52" t="s">
        <v>134</v>
      </c>
      <c r="F11" s="104" t="s">
        <v>171</v>
      </c>
    </row>
    <row r="15" spans="1:6" ht="27" customHeight="1" x14ac:dyDescent="0.25"/>
    <row r="16" spans="1:6" ht="27" customHeight="1" x14ac:dyDescent="0.25"/>
    <row r="27" spans="1:6" x14ac:dyDescent="0.25">
      <c r="A27" s="141" t="s">
        <v>172</v>
      </c>
      <c r="B27" s="141"/>
      <c r="C27" s="141"/>
      <c r="D27" s="141"/>
      <c r="E27" s="141"/>
      <c r="F27" s="141"/>
    </row>
    <row r="28" spans="1:6" x14ac:dyDescent="0.25">
      <c r="A28" s="83" t="s">
        <v>140</v>
      </c>
      <c r="B28" s="83" t="s">
        <v>141</v>
      </c>
      <c r="C28" s="83" t="s">
        <v>173</v>
      </c>
      <c r="D28" s="83" t="s">
        <v>174</v>
      </c>
      <c r="E28" s="83" t="s">
        <v>131</v>
      </c>
      <c r="F28" s="83" t="s">
        <v>144</v>
      </c>
    </row>
    <row r="29" spans="1:6" x14ac:dyDescent="0.25">
      <c r="A29" s="105">
        <v>43287</v>
      </c>
      <c r="B29" s="57" t="s">
        <v>175</v>
      </c>
      <c r="C29" s="106" t="s">
        <v>176</v>
      </c>
      <c r="D29" s="106"/>
      <c r="E29" s="57" t="s">
        <v>157</v>
      </c>
      <c r="F29" s="106" t="s">
        <v>177</v>
      </c>
    </row>
    <row r="30" spans="1:6" x14ac:dyDescent="0.25">
      <c r="A30" s="105">
        <v>43257</v>
      </c>
      <c r="B30" s="57" t="s">
        <v>178</v>
      </c>
      <c r="C30" s="106"/>
      <c r="D30" s="106" t="s">
        <v>179</v>
      </c>
      <c r="E30" s="57" t="s">
        <v>180</v>
      </c>
      <c r="F30" s="106"/>
    </row>
  </sheetData>
  <mergeCells count="2">
    <mergeCell ref="A1:F1"/>
    <mergeCell ref="A27:F27"/>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5" customWidth="1"/>
    <col min="2" max="2" width="9.44140625" style="55" customWidth="1"/>
    <col min="3" max="3" width="9" style="55" customWidth="1"/>
    <col min="4" max="4" width="7.44140625" style="55" customWidth="1"/>
    <col min="5" max="5" width="8.109375" style="55" customWidth="1"/>
    <col min="6" max="6" width="26.6640625" style="55" customWidth="1"/>
    <col min="7" max="7" width="8.6640625" style="55" customWidth="1"/>
    <col min="8" max="8" width="12.109375" style="55" customWidth="1"/>
    <col min="9" max="9" width="7.44140625" style="55" customWidth="1"/>
    <col min="10" max="10" width="7.88671875" style="55" customWidth="1"/>
    <col min="11" max="11" width="7.6640625" style="55" customWidth="1"/>
    <col min="12" max="12" width="13.21875" style="55" customWidth="1"/>
    <col min="13" max="13" width="7.109375" style="55" customWidth="1"/>
    <col min="14" max="14" width="37.6640625" style="55" customWidth="1"/>
    <col min="15" max="15" width="25.33203125" style="55" customWidth="1"/>
    <col min="16" max="16" width="20.44140625" style="107" customWidth="1"/>
    <col min="17" max="17" width="12" style="55" customWidth="1"/>
    <col min="18" max="18" width="10.44140625" style="55" customWidth="1"/>
  </cols>
  <sheetData>
    <row r="1" spans="1:18" x14ac:dyDescent="0.25">
      <c r="A1" s="148" t="s">
        <v>181</v>
      </c>
      <c r="B1" s="122"/>
      <c r="C1" s="122"/>
      <c r="D1" s="122"/>
      <c r="E1" s="122"/>
      <c r="F1" s="122"/>
      <c r="G1" s="122"/>
      <c r="H1" s="122"/>
      <c r="I1" s="122"/>
      <c r="J1" s="122"/>
      <c r="K1" s="122"/>
      <c r="L1" s="122"/>
      <c r="M1" s="122"/>
      <c r="N1" s="122"/>
    </row>
    <row r="2" spans="1:18" s="1" customFormat="1" ht="25.5" customHeight="1" x14ac:dyDescent="0.25">
      <c r="A2" s="54" t="s">
        <v>182</v>
      </c>
      <c r="B2" s="54" t="s">
        <v>183</v>
      </c>
      <c r="C2" s="54" t="s">
        <v>184</v>
      </c>
      <c r="D2" s="54" t="s">
        <v>185</v>
      </c>
      <c r="E2" s="54" t="s">
        <v>186</v>
      </c>
      <c r="F2" s="54" t="s">
        <v>187</v>
      </c>
      <c r="G2" s="54" t="s">
        <v>188</v>
      </c>
      <c r="H2" s="54" t="s">
        <v>16</v>
      </c>
      <c r="I2" s="54" t="s">
        <v>189</v>
      </c>
      <c r="J2" s="54" t="s">
        <v>190</v>
      </c>
      <c r="K2" s="54" t="s">
        <v>191</v>
      </c>
      <c r="L2" s="54" t="s">
        <v>192</v>
      </c>
      <c r="M2" s="54" t="s">
        <v>19</v>
      </c>
      <c r="N2" s="54" t="s">
        <v>193</v>
      </c>
      <c r="O2" s="3"/>
      <c r="P2" s="108" t="str">
        <f ca="1">Q2</f>
        <v>2019-04-17</v>
      </c>
      <c r="Q2" s="1" t="str">
        <f ca="1">[1]!td(R2-1)</f>
        <v>2019-04-17</v>
      </c>
      <c r="R2" s="3">
        <f ca="1">TODAY()</f>
        <v>43573</v>
      </c>
    </row>
    <row r="3" spans="1:18" ht="15.75" customHeight="1" x14ac:dyDescent="0.25">
      <c r="A3" s="109" t="str">
        <f>[1]!b_info_name(L3)</f>
        <v>19浙江交工MTN001</v>
      </c>
      <c r="B3" s="2" t="str">
        <f>[1]!b_issue_firstissue(L3)</f>
        <v>2019-04-19</v>
      </c>
      <c r="C3" s="109">
        <f>[1]!b_info_term(L3)</f>
        <v>3</v>
      </c>
      <c r="D3" s="110" t="str">
        <f>[1]!issuerrating(L3)</f>
        <v>AA+</v>
      </c>
      <c r="E3" s="110" t="str">
        <f>[1]!b_info_creditrating(L3)</f>
        <v>AA+</v>
      </c>
      <c r="F3" s="109" t="str">
        <f>[1]!b_rate_creditratingagency(L3)</f>
        <v>上海新世纪资信评估投资服务有限公司</v>
      </c>
      <c r="G3" s="111">
        <f>[1]!b_agency_guarantor(L3)</f>
        <v>0</v>
      </c>
      <c r="H3" s="112" t="s">
        <v>194</v>
      </c>
      <c r="I3" s="65"/>
      <c r="J3" s="113" t="s">
        <v>194</v>
      </c>
      <c r="K3" s="114"/>
      <c r="L3" s="41" t="str">
        <f>公式页!A2</f>
        <v>q19041605.IB</v>
      </c>
      <c r="M3" s="112" t="s">
        <v>194</v>
      </c>
      <c r="N3" s="109" t="str">
        <f>[1]!b_agency_leadunderwriter(L3)</f>
        <v>交通银行股份有限公司</v>
      </c>
      <c r="P3" s="107" t="str">
        <f t="shared" ref="P3:P29" ca="1" si="0">$P$2</f>
        <v>2019-04-17</v>
      </c>
    </row>
    <row r="4" spans="1:18" ht="15.75" customHeight="1" x14ac:dyDescent="0.25">
      <c r="A4" s="109" t="str">
        <f>[1]!b_info_name(L4)</f>
        <v>14渤化永利MTN001</v>
      </c>
      <c r="B4" s="2" t="str">
        <f>[1]!b_issue_firstissue(L4)</f>
        <v>2014-08-14</v>
      </c>
      <c r="C4" s="109">
        <f>[1]!b_info_term(L4)</f>
        <v>5</v>
      </c>
      <c r="D4" s="110" t="str">
        <f>[1]!issuerrating(L4)</f>
        <v>AA-</v>
      </c>
      <c r="E4" s="110" t="str">
        <f>[1]!b_info_creditrating(L4)</f>
        <v>AA+</v>
      </c>
      <c r="F4" s="109" t="str">
        <f>[1]!b_rate_creditratingagency(L4)</f>
        <v>大公国际资信评估有限公司</v>
      </c>
      <c r="G4" s="111" t="str">
        <f>[1]!b_agency_guarantor(L4)</f>
        <v>天津渤海化工集团有限责任公司</v>
      </c>
      <c r="H4" s="112">
        <f>[1]!b_info_couponrate(L4)</f>
        <v>6.4</v>
      </c>
      <c r="I4" s="65"/>
      <c r="J4" s="113">
        <f ca="1">[1]!b_anal_yield_cnbd(L4,P2,1)</f>
        <v>3.7271000000000001</v>
      </c>
      <c r="K4" s="114">
        <f>K3</f>
        <v>0</v>
      </c>
      <c r="L4" s="4" t="s">
        <v>195</v>
      </c>
      <c r="M4" s="112">
        <f>[1]!b_info_issueamount(L4)/100000000</f>
        <v>5</v>
      </c>
      <c r="N4" s="109" t="str">
        <f>[1]!b_agency_leadunderwriter(L4)</f>
        <v>上海浦东发展银行股份有限公司,中国国际金融股份有限公司</v>
      </c>
      <c r="P4" s="107" t="str">
        <f t="shared" ca="1" si="0"/>
        <v>2019-04-17</v>
      </c>
    </row>
    <row r="5" spans="1:18" ht="15.75" customHeight="1" x14ac:dyDescent="0.25">
      <c r="A5" s="109">
        <f>[1]!b_info_name(L5)</f>
        <v>0</v>
      </c>
      <c r="B5" s="2">
        <f>[1]!b_issue_firstissue(L5)</f>
        <v>0</v>
      </c>
      <c r="C5" s="109">
        <f>[1]!b_info_term(L5)</f>
        <v>0</v>
      </c>
      <c r="D5" s="110">
        <f>[1]!issuerrating(L5)</f>
        <v>0</v>
      </c>
      <c r="E5" s="110">
        <f>[1]!b_info_creditrating(L5)</f>
        <v>0</v>
      </c>
      <c r="F5" s="109">
        <f>[1]!b_rate_creditratingagency(L5)</f>
        <v>0</v>
      </c>
      <c r="G5" s="111">
        <f>[1]!b_agency_guarantor(L5)</f>
        <v>0</v>
      </c>
      <c r="H5" s="112">
        <f>[1]!b_info_couponrate(L5)</f>
        <v>0</v>
      </c>
      <c r="I5" s="65"/>
      <c r="J5" s="113">
        <f ca="1">[1]!b_anal_yield_cnbd(L5,P3,1)</f>
        <v>0</v>
      </c>
      <c r="K5" s="114">
        <f>K3</f>
        <v>0</v>
      </c>
      <c r="L5" s="5"/>
      <c r="M5" s="112">
        <f>[1]!b_info_issueamount(L5)/100000000</f>
        <v>0</v>
      </c>
      <c r="N5" s="109">
        <f>[1]!b_agency_leadunderwriter(L5)</f>
        <v>0</v>
      </c>
      <c r="P5" s="107" t="str">
        <f t="shared" ca="1" si="0"/>
        <v>2019-04-17</v>
      </c>
    </row>
    <row r="6" spans="1:18" ht="15.75" customHeight="1" x14ac:dyDescent="0.25">
      <c r="A6" s="109">
        <f>[1]!b_info_name(L6)</f>
        <v>0</v>
      </c>
      <c r="B6" s="2">
        <f>[1]!b_issue_firstissue(L6)</f>
        <v>0</v>
      </c>
      <c r="C6" s="109">
        <f>[1]!b_info_term(L6)</f>
        <v>0</v>
      </c>
      <c r="D6" s="110">
        <f>[1]!issuerrating(L6)</f>
        <v>0</v>
      </c>
      <c r="E6" s="110">
        <f>[1]!b_info_creditrating(L6)</f>
        <v>0</v>
      </c>
      <c r="F6" s="109">
        <f>[1]!b_rate_creditratingagency(L6)</f>
        <v>0</v>
      </c>
      <c r="G6" s="111">
        <f>[1]!b_agency_guarantor(L6)</f>
        <v>0</v>
      </c>
      <c r="H6" s="112">
        <f>[1]!b_info_couponrate(L6)</f>
        <v>0</v>
      </c>
      <c r="I6" s="65"/>
      <c r="J6" s="113">
        <f ca="1">[1]!b_anal_yield_cnbd(L6,P4,1)</f>
        <v>0</v>
      </c>
      <c r="K6" s="114">
        <f>K3</f>
        <v>0</v>
      </c>
      <c r="L6" s="5"/>
      <c r="M6" s="112">
        <f>[1]!b_info_issueamount(L6)/100000000</f>
        <v>0</v>
      </c>
      <c r="N6" s="109">
        <f>[1]!b_agency_leadunderwriter(L6)</f>
        <v>0</v>
      </c>
      <c r="P6" s="107" t="str">
        <f t="shared" ca="1" si="0"/>
        <v>2019-04-17</v>
      </c>
    </row>
    <row r="7" spans="1:18" ht="15.75" customHeight="1" x14ac:dyDescent="0.25">
      <c r="A7" s="109">
        <f>[1]!b_info_name(L7)</f>
        <v>0</v>
      </c>
      <c r="B7" s="2">
        <f>[1]!b_issue_firstissue(L7)</f>
        <v>0</v>
      </c>
      <c r="C7" s="109">
        <f>[1]!b_info_term(L7)</f>
        <v>0</v>
      </c>
      <c r="D7" s="110">
        <f>[1]!issuerrating(L7)</f>
        <v>0</v>
      </c>
      <c r="E7" s="110">
        <f>[1]!b_info_creditrating(L7)</f>
        <v>0</v>
      </c>
      <c r="F7" s="109">
        <f>[1]!b_rate_creditratingagency(L7)</f>
        <v>0</v>
      </c>
      <c r="G7" s="111">
        <f>[1]!b_agency_guarantor(L7)</f>
        <v>0</v>
      </c>
      <c r="H7" s="112">
        <f>[1]!b_info_couponrate(L7)</f>
        <v>0</v>
      </c>
      <c r="I7" s="65"/>
      <c r="J7" s="113">
        <f ca="1">[1]!b_anal_yield_cnbd(L7,P5,1)</f>
        <v>0</v>
      </c>
      <c r="K7" s="114">
        <f>K3</f>
        <v>0</v>
      </c>
      <c r="L7" s="5"/>
      <c r="M7" s="112">
        <f>[1]!b_info_issueamount(L7)/100000000</f>
        <v>0</v>
      </c>
      <c r="N7" s="109">
        <f>[1]!b_agency_leadunderwriter(L7)</f>
        <v>0</v>
      </c>
      <c r="P7" s="107" t="str">
        <f t="shared" ca="1" si="0"/>
        <v>2019-04-17</v>
      </c>
    </row>
    <row r="8" spans="1:18" ht="15.75" customHeight="1" x14ac:dyDescent="0.25">
      <c r="A8" s="109">
        <f>[1]!b_info_name(L8)</f>
        <v>0</v>
      </c>
      <c r="B8" s="2">
        <f>[1]!b_issue_firstissue(L8)</f>
        <v>0</v>
      </c>
      <c r="C8" s="109">
        <f>[1]!b_info_term(L8)</f>
        <v>0</v>
      </c>
      <c r="D8" s="110">
        <f>[1]!issuerrating(L8)</f>
        <v>0</v>
      </c>
      <c r="E8" s="110">
        <f>[1]!b_info_creditrating(L8)</f>
        <v>0</v>
      </c>
      <c r="F8" s="109">
        <f>[1]!b_rate_creditratingagency(L8)</f>
        <v>0</v>
      </c>
      <c r="G8" s="111">
        <f>[1]!b_agency_guarantor(L8)</f>
        <v>0</v>
      </c>
      <c r="H8" s="112">
        <f>[1]!b_info_couponrate(L8)</f>
        <v>0</v>
      </c>
      <c r="I8" s="65"/>
      <c r="J8" s="113">
        <f ca="1">[1]!b_anal_yield_cnbd(L8,P6,1)</f>
        <v>0</v>
      </c>
      <c r="K8" s="114">
        <f>K3</f>
        <v>0</v>
      </c>
      <c r="L8" s="5"/>
      <c r="M8" s="112">
        <f>[1]!b_info_issueamount(L8)/100000000</f>
        <v>0</v>
      </c>
      <c r="N8" s="109">
        <f>[1]!b_agency_leadunderwriter(L8)</f>
        <v>0</v>
      </c>
      <c r="P8" s="107" t="str">
        <f t="shared" ca="1" si="0"/>
        <v>2019-04-17</v>
      </c>
    </row>
    <row r="9" spans="1:18" ht="15.75" customHeight="1" x14ac:dyDescent="0.25">
      <c r="A9" s="109">
        <f>[1]!b_info_name(L9)</f>
        <v>0</v>
      </c>
      <c r="B9" s="2">
        <f>[1]!b_issue_firstissue(L9)</f>
        <v>0</v>
      </c>
      <c r="C9" s="109">
        <f>[1]!b_info_term(L9)</f>
        <v>0</v>
      </c>
      <c r="D9" s="110">
        <f>[1]!issuerrating(L9)</f>
        <v>0</v>
      </c>
      <c r="E9" s="110">
        <f>[1]!b_info_creditrating(L9)</f>
        <v>0</v>
      </c>
      <c r="F9" s="109">
        <f>[1]!b_rate_creditratingagency(L9)</f>
        <v>0</v>
      </c>
      <c r="G9" s="111">
        <f>[1]!b_agency_guarantor(L9)</f>
        <v>0</v>
      </c>
      <c r="H9" s="112">
        <f>[1]!b_info_couponrate(L9)</f>
        <v>0</v>
      </c>
      <c r="I9" s="65"/>
      <c r="J9" s="113">
        <f ca="1">[1]!b_anal_yield_cnbd(L9,P7,1)</f>
        <v>0</v>
      </c>
      <c r="K9" s="114">
        <f>K3</f>
        <v>0</v>
      </c>
      <c r="L9" s="5"/>
      <c r="M9" s="112">
        <f>[1]!b_info_issueamount(L9)/100000000</f>
        <v>0</v>
      </c>
      <c r="N9" s="109">
        <f>[1]!b_agency_leadunderwriter(L9)</f>
        <v>0</v>
      </c>
      <c r="P9" s="107" t="str">
        <f t="shared" ca="1" si="0"/>
        <v>2019-04-17</v>
      </c>
    </row>
    <row r="10" spans="1:18" x14ac:dyDescent="0.25">
      <c r="P10" s="107" t="str">
        <f t="shared" ca="1" si="0"/>
        <v>2019-04-17</v>
      </c>
    </row>
    <row r="11" spans="1:18" x14ac:dyDescent="0.25">
      <c r="P11" s="107" t="str">
        <f t="shared" ca="1" si="0"/>
        <v>2019-04-17</v>
      </c>
    </row>
    <row r="12" spans="1:18" x14ac:dyDescent="0.25">
      <c r="A12" s="148" t="s">
        <v>196</v>
      </c>
      <c r="B12" s="122"/>
      <c r="C12" s="122"/>
      <c r="D12" s="122"/>
      <c r="E12" s="122"/>
      <c r="F12" s="122"/>
      <c r="G12" s="122"/>
      <c r="H12" s="122"/>
      <c r="I12" s="122"/>
      <c r="J12" s="122"/>
      <c r="K12" s="122"/>
      <c r="L12" s="122"/>
      <c r="M12" s="122"/>
      <c r="N12" s="122"/>
      <c r="P12" s="107" t="str">
        <f t="shared" ca="1" si="0"/>
        <v>2019-04-17</v>
      </c>
    </row>
    <row r="13" spans="1:18" s="1" customFormat="1" ht="43.2" customHeight="1" x14ac:dyDescent="0.25">
      <c r="A13" s="54" t="s">
        <v>182</v>
      </c>
      <c r="B13" s="54" t="s">
        <v>183</v>
      </c>
      <c r="C13" s="54" t="s">
        <v>184</v>
      </c>
      <c r="D13" s="54" t="s">
        <v>185</v>
      </c>
      <c r="E13" s="54" t="s">
        <v>186</v>
      </c>
      <c r="F13" s="54" t="s">
        <v>187</v>
      </c>
      <c r="G13" s="54" t="s">
        <v>188</v>
      </c>
      <c r="H13" s="54" t="s">
        <v>16</v>
      </c>
      <c r="I13" s="54" t="s">
        <v>189</v>
      </c>
      <c r="J13" s="54" t="s">
        <v>190</v>
      </c>
      <c r="K13" s="54" t="s">
        <v>191</v>
      </c>
      <c r="L13" s="54" t="s">
        <v>192</v>
      </c>
      <c r="M13" s="54" t="s">
        <v>19</v>
      </c>
      <c r="N13" s="54" t="s">
        <v>193</v>
      </c>
      <c r="P13" s="107" t="str">
        <f t="shared" ca="1" si="0"/>
        <v>2019-04-17</v>
      </c>
    </row>
    <row r="14" spans="1:18" ht="15.75" customHeight="1" x14ac:dyDescent="0.25">
      <c r="A14" s="109" t="str">
        <f>[1]!b_info_name(L14)</f>
        <v>19浙江交工MTN001</v>
      </c>
      <c r="B14" s="2" t="str">
        <f>[1]!b_issue_firstissue(L14)</f>
        <v>2019-04-19</v>
      </c>
      <c r="C14" s="109">
        <f>[1]!b_info_term(L14)</f>
        <v>3</v>
      </c>
      <c r="D14" s="110" t="str">
        <f>[1]!issuerrating(L14)</f>
        <v>AA+</v>
      </c>
      <c r="E14" s="110" t="str">
        <f>[1]!b_info_creditrating(L14)</f>
        <v>AA+</v>
      </c>
      <c r="F14" s="109" t="str">
        <f>[1]!b_rate_creditratingagency(L14)</f>
        <v>上海新世纪资信评估投资服务有限公司</v>
      </c>
      <c r="G14" s="111">
        <f>[1]!b_agency_guarantor(L14)</f>
        <v>0</v>
      </c>
      <c r="H14" s="112" t="s">
        <v>194</v>
      </c>
      <c r="I14" s="65"/>
      <c r="J14" s="113" t="s">
        <v>194</v>
      </c>
      <c r="K14" s="114">
        <f>K3</f>
        <v>0</v>
      </c>
      <c r="L14" s="42" t="str">
        <f>L3</f>
        <v>q19041605.IB</v>
      </c>
      <c r="M14" s="112" t="s">
        <v>194</v>
      </c>
      <c r="N14" s="109" t="str">
        <f>[1]!b_agency_leadunderwriter(L14)</f>
        <v>交通银行股份有限公司</v>
      </c>
      <c r="P14" s="107" t="str">
        <f t="shared" ca="1" si="0"/>
        <v>2019-04-17</v>
      </c>
    </row>
    <row r="15" spans="1:18" ht="15.75" customHeight="1" x14ac:dyDescent="0.25">
      <c r="A15" s="109" t="str">
        <f>[1]!b_info_name(L15)</f>
        <v>14康缘CP001</v>
      </c>
      <c r="B15" s="2" t="str">
        <f>[1]!b_issue_firstissue(L15)</f>
        <v>2014-07-10</v>
      </c>
      <c r="C15" s="109">
        <f>[1]!b_info_term(L15)</f>
        <v>1</v>
      </c>
      <c r="D15" s="110" t="str">
        <f>[1]!issuerrating(L15)</f>
        <v>AA-</v>
      </c>
      <c r="E15" s="110" t="str">
        <f>[1]!b_info_creditrating(L15)</f>
        <v>A-1</v>
      </c>
      <c r="F15" s="109" t="str">
        <f>[1]!b_rate_creditratingagency(L15)</f>
        <v>中诚信国际信用评级有限责任公司</v>
      </c>
      <c r="G15" s="111">
        <f>[1]!b_agency_guarantor(L15)</f>
        <v>0</v>
      </c>
      <c r="H15" s="112">
        <f>[1]!b_info_couponrate(L15)</f>
        <v>7.2</v>
      </c>
      <c r="I15" s="65"/>
      <c r="J15" s="113">
        <f ca="1">[1]!b_anal_yield_cnbd(L15,P13,1)</f>
        <v>0</v>
      </c>
      <c r="K15" s="114"/>
      <c r="L15" s="6" t="s">
        <v>197</v>
      </c>
      <c r="M15" s="112">
        <f>[1]!b_info_issueamount(L15)/100000000</f>
        <v>5</v>
      </c>
      <c r="N15" s="109" t="str">
        <f>[1]!b_agency_leadunderwriter(L15)</f>
        <v>招商银行股份有限公司</v>
      </c>
      <c r="O15" t="str">
        <f>[1]!b_issuer_windindustry(L15,4)</f>
        <v>西药</v>
      </c>
      <c r="P15" s="107" t="str">
        <f t="shared" ca="1" si="0"/>
        <v>2019-04-17</v>
      </c>
    </row>
    <row r="16" spans="1:18" ht="15.75" customHeight="1" x14ac:dyDescent="0.25">
      <c r="A16" s="109" t="str">
        <f>[1]!b_info_name(L16)</f>
        <v>14铜陵化工CP001</v>
      </c>
      <c r="B16" s="2" t="str">
        <f>[1]!b_issue_firstissue(L16)</f>
        <v>2014-07-08</v>
      </c>
      <c r="C16" s="109">
        <f>[1]!b_info_term(L16)</f>
        <v>1</v>
      </c>
      <c r="D16" s="110" t="str">
        <f>[1]!issuerrating(L16)</f>
        <v>AA-</v>
      </c>
      <c r="E16" s="110" t="str">
        <f>[1]!b_info_creditrating(L16)</f>
        <v>A-1</v>
      </c>
      <c r="F16" s="109" t="str">
        <f>[1]!b_rate_creditratingagency(L16)</f>
        <v>中诚信国际信用评级有限责任公司</v>
      </c>
      <c r="G16" s="111">
        <f>[1]!b_agency_guarantor(L16)</f>
        <v>0</v>
      </c>
      <c r="H16" s="112">
        <f>[1]!b_info_couponrate(L16)</f>
        <v>6.35</v>
      </c>
      <c r="I16" s="65"/>
      <c r="J16" s="113">
        <f ca="1">[1]!b_anal_yield_cnbd(L16,P14,1)</f>
        <v>0</v>
      </c>
      <c r="K16" s="114"/>
      <c r="L16" s="6" t="s">
        <v>198</v>
      </c>
      <c r="M16" s="112">
        <f>[1]!b_info_issueamount(L16)/100000000</f>
        <v>6</v>
      </c>
      <c r="N16" s="109" t="str">
        <f>[1]!b_agency_leadunderwriter(L16)</f>
        <v>北京银行股份有限公司</v>
      </c>
      <c r="O16" t="str">
        <f>[1]!b_issuer_windindustry(L16,4)</f>
        <v>化肥与农用化工</v>
      </c>
      <c r="P16" s="107" t="str">
        <f t="shared" ca="1" si="0"/>
        <v>2019-04-17</v>
      </c>
    </row>
    <row r="17" spans="1:16" ht="15.75" customHeight="1" x14ac:dyDescent="0.25">
      <c r="A17" s="109" t="str">
        <f>[1]!b_info_name(L17)</f>
        <v>14龙力CP001</v>
      </c>
      <c r="B17" s="2" t="str">
        <f>[1]!b_issue_firstissue(L17)</f>
        <v>2014-06-26</v>
      </c>
      <c r="C17" s="109">
        <f>[1]!b_info_term(L17)</f>
        <v>1</v>
      </c>
      <c r="D17" s="110" t="str">
        <f>[1]!issuerrating(L17)</f>
        <v>AA-</v>
      </c>
      <c r="E17" s="110" t="str">
        <f>[1]!b_info_creditrating(L17)</f>
        <v>A-1</v>
      </c>
      <c r="F17" s="109" t="str">
        <f>[1]!b_rate_creditratingagency(L17)</f>
        <v>上海新世纪资信评估投资服务有限公司</v>
      </c>
      <c r="G17" s="111">
        <f>[1]!b_agency_guarantor(L17)</f>
        <v>0</v>
      </c>
      <c r="H17" s="112">
        <f>[1]!b_info_couponrate(L17)</f>
        <v>6.5</v>
      </c>
      <c r="I17" s="65"/>
      <c r="J17" s="113">
        <f ca="1">[1]!b_anal_yield_cnbd(L17,P15,1)</f>
        <v>0</v>
      </c>
      <c r="K17" s="114"/>
      <c r="L17" s="6" t="s">
        <v>199</v>
      </c>
      <c r="M17" s="112">
        <f>[1]!b_info_issueamount(L17)/100000000</f>
        <v>3.5</v>
      </c>
      <c r="N17" s="109" t="str">
        <f>[1]!b_agency_leadunderwriter(L17)</f>
        <v>华夏银行股份有限公司</v>
      </c>
      <c r="O17" t="str">
        <f>[1]!b_issuer_windindustry(L17,4)</f>
        <v>食品加工与肉类</v>
      </c>
      <c r="P17" s="107" t="str">
        <f t="shared" ca="1" si="0"/>
        <v>2019-04-17</v>
      </c>
    </row>
    <row r="18" spans="1:16" ht="15.75" customHeight="1" x14ac:dyDescent="0.25">
      <c r="A18" s="109" t="str">
        <f>[1]!b_info_name(L18)</f>
        <v>14新城建CP001</v>
      </c>
      <c r="B18" s="2" t="str">
        <f>[1]!b_issue_firstissue(L18)</f>
        <v>2014-06-25</v>
      </c>
      <c r="C18" s="109">
        <f>[1]!b_info_term(L18)</f>
        <v>1</v>
      </c>
      <c r="D18" s="110" t="str">
        <f>[1]!issuerrating(L18)</f>
        <v>AA-</v>
      </c>
      <c r="E18" s="110" t="str">
        <f>[1]!b_info_creditrating(L18)</f>
        <v>A-1</v>
      </c>
      <c r="F18" s="109" t="str">
        <f>[1]!b_rate_creditratingagency(L18)</f>
        <v>上海新世纪资信评估投资服务有限公司</v>
      </c>
      <c r="G18" s="111">
        <f>[1]!b_agency_guarantor(L18)</f>
        <v>0</v>
      </c>
      <c r="H18" s="112">
        <f>[1]!b_info_couponrate(L18)</f>
        <v>6.4</v>
      </c>
      <c r="I18" s="65"/>
      <c r="J18" s="113">
        <f ca="1">[1]!b_anal_yield_cnbd(L18,P16,1)</f>
        <v>0</v>
      </c>
      <c r="K18" s="114"/>
      <c r="L18" s="6" t="s">
        <v>200</v>
      </c>
      <c r="M18" s="112">
        <f>[1]!b_info_issueamount(L18)/100000000</f>
        <v>3</v>
      </c>
      <c r="N18" s="109" t="str">
        <f>[1]!b_agency_leadunderwriter(L18)</f>
        <v>兴业银行股份有限公司</v>
      </c>
      <c r="O18" t="str">
        <f>[1]!b_issuer_windindustry(L18,4)</f>
        <v>工业机械</v>
      </c>
      <c r="P18" s="107" t="str">
        <f t="shared" ca="1" si="0"/>
        <v>2019-04-17</v>
      </c>
    </row>
    <row r="19" spans="1:16" ht="15.75" customHeight="1" x14ac:dyDescent="0.25">
      <c r="A19" s="109" t="str">
        <f>[1]!b_info_name(L19)</f>
        <v>14长电科技CP001</v>
      </c>
      <c r="B19" s="2" t="str">
        <f>[1]!b_issue_firstissue(L19)</f>
        <v>2014-06-19</v>
      </c>
      <c r="C19" s="109">
        <f>[1]!b_info_term(L19)</f>
        <v>1</v>
      </c>
      <c r="D19" s="110" t="str">
        <f>[1]!issuerrating(L19)</f>
        <v>AA-</v>
      </c>
      <c r="E19" s="110" t="str">
        <f>[1]!b_info_creditrating(L19)</f>
        <v>A-1</v>
      </c>
      <c r="F19" s="109" t="str">
        <f>[1]!b_rate_creditratingagency(L19)</f>
        <v>联合资信评估有限公司</v>
      </c>
      <c r="G19" s="111">
        <f>[1]!b_agency_guarantor(L19)</f>
        <v>0</v>
      </c>
      <c r="H19" s="112">
        <f>[1]!b_info_couponrate(L19)</f>
        <v>6.5</v>
      </c>
      <c r="I19" s="65"/>
      <c r="J19" s="113">
        <f ca="1">[1]!b_anal_yield_cnbd(L19,P17,1)</f>
        <v>0</v>
      </c>
      <c r="K19" s="114"/>
      <c r="L19" s="6" t="s">
        <v>201</v>
      </c>
      <c r="M19" s="112">
        <f>[1]!b_info_issueamount(L19)/100000000</f>
        <v>3</v>
      </c>
      <c r="N19" s="109" t="str">
        <f>[1]!b_agency_leadunderwriter(L19)</f>
        <v>中国银行股份有限公司</v>
      </c>
      <c r="O19" t="str">
        <f>[1]!b_issuer_windindustry(L19,4)</f>
        <v>半导体产品</v>
      </c>
      <c r="P19" s="107" t="str">
        <f t="shared" ca="1" si="0"/>
        <v>2019-04-17</v>
      </c>
    </row>
    <row r="20" spans="1:16" ht="15.75" customHeight="1" x14ac:dyDescent="0.25">
      <c r="A20" s="109" t="str">
        <f>[1]!b_info_name(L20)</f>
        <v>14东阳光CP002</v>
      </c>
      <c r="B20" s="2" t="str">
        <f>[1]!b_issue_firstissue(L20)</f>
        <v>2014-06-13</v>
      </c>
      <c r="C20" s="109">
        <f>[1]!b_info_term(L20)</f>
        <v>1</v>
      </c>
      <c r="D20" s="110" t="str">
        <f>[1]!issuerrating(L20)</f>
        <v>AA-</v>
      </c>
      <c r="E20" s="110" t="str">
        <f>[1]!b_info_creditrating(L20)</f>
        <v>A-1</v>
      </c>
      <c r="F20" s="109" t="str">
        <f>[1]!b_rate_creditratingagency(L20)</f>
        <v>联合资信评估有限公司</v>
      </c>
      <c r="G20" s="111">
        <f>[1]!b_agency_guarantor(L20)</f>
        <v>0</v>
      </c>
      <c r="H20" s="112">
        <f>[1]!b_info_couponrate(L20)</f>
        <v>6.95</v>
      </c>
      <c r="I20" s="65"/>
      <c r="J20" s="113">
        <f ca="1">[1]!b_anal_yield_cnbd(L20,P18,1)</f>
        <v>0</v>
      </c>
      <c r="K20" s="114"/>
      <c r="L20" s="6" t="s">
        <v>202</v>
      </c>
      <c r="M20" s="112">
        <f>[1]!b_info_issueamount(L20)/100000000</f>
        <v>5</v>
      </c>
      <c r="N20" s="109" t="str">
        <f>[1]!b_agency_leadunderwriter(L20)</f>
        <v>中国银行股份有限公司</v>
      </c>
      <c r="O20" t="str">
        <f>[1]!b_issuer_windindustry(L20,4)</f>
        <v>医疗保健用品</v>
      </c>
      <c r="P20" s="107" t="str">
        <f t="shared" ca="1" si="0"/>
        <v>2019-04-17</v>
      </c>
    </row>
    <row r="21" spans="1:16" ht="15.75" customHeight="1" x14ac:dyDescent="0.25">
      <c r="A21" s="109" t="str">
        <f>[1]!b_info_name(L21)</f>
        <v>14中澳控CP001</v>
      </c>
      <c r="B21" s="2" t="str">
        <f>[1]!b_issue_firstissue(L21)</f>
        <v>2014-06-10</v>
      </c>
      <c r="C21" s="109">
        <f>[1]!b_info_term(L21)</f>
        <v>1</v>
      </c>
      <c r="D21" s="110" t="str">
        <f>[1]!issuerrating(L21)</f>
        <v>AA-</v>
      </c>
      <c r="E21" s="110" t="str">
        <f>[1]!b_info_creditrating(L21)</f>
        <v>A-1</v>
      </c>
      <c r="F21" s="109" t="str">
        <f>[1]!b_rate_creditratingagency(L21)</f>
        <v>中诚信国际信用评级有限责任公司</v>
      </c>
      <c r="G21" s="111">
        <f>[1]!b_agency_guarantor(L21)</f>
        <v>0</v>
      </c>
      <c r="H21" s="112">
        <f>[1]!b_info_couponrate(L21)</f>
        <v>7.39</v>
      </c>
      <c r="I21" s="65"/>
      <c r="J21" s="113">
        <f ca="1">[1]!b_anal_yield_cnbd(L21,P19,1)</f>
        <v>0</v>
      </c>
      <c r="K21" s="114"/>
      <c r="L21" s="6" t="s">
        <v>203</v>
      </c>
      <c r="M21" s="112">
        <f>[1]!b_info_issueamount(L21)/100000000</f>
        <v>2</v>
      </c>
      <c r="N21" s="109" t="str">
        <f>[1]!b_agency_leadunderwriter(L21)</f>
        <v>中国银行股份有限公司</v>
      </c>
      <c r="O21" t="str">
        <f>[1]!b_issuer_windindustry(L21,4)</f>
        <v>食品加工与肉类</v>
      </c>
      <c r="P21" s="107" t="str">
        <f t="shared" ca="1" si="0"/>
        <v>2019-04-17</v>
      </c>
    </row>
    <row r="22" spans="1:16" ht="15.75" customHeight="1" x14ac:dyDescent="0.25">
      <c r="A22" s="109" t="str">
        <f>[1]!b_info_name(L22)</f>
        <v>14杭州宋城CP001</v>
      </c>
      <c r="B22" s="2" t="str">
        <f>[1]!b_issue_firstissue(L22)</f>
        <v>2014-06-03</v>
      </c>
      <c r="C22" s="109">
        <f>[1]!b_info_term(L22)</f>
        <v>1</v>
      </c>
      <c r="D22" s="110" t="str">
        <f>[1]!issuerrating(L22)</f>
        <v>AA-</v>
      </c>
      <c r="E22" s="110" t="str">
        <f>[1]!b_info_creditrating(L22)</f>
        <v>A-1</v>
      </c>
      <c r="F22" s="109" t="str">
        <f>[1]!b_rate_creditratingagency(L22)</f>
        <v>中诚信国际信用评级有限责任公司</v>
      </c>
      <c r="G22" s="111">
        <f>[1]!b_agency_guarantor(L22)</f>
        <v>0</v>
      </c>
      <c r="H22" s="112">
        <f>[1]!b_info_couponrate(L22)</f>
        <v>7.5</v>
      </c>
      <c r="I22" s="65"/>
      <c r="J22" s="113">
        <f ca="1">[1]!b_anal_yield_cnbd(L22,P20,1)</f>
        <v>0</v>
      </c>
      <c r="K22" s="114"/>
      <c r="L22" s="6" t="s">
        <v>204</v>
      </c>
      <c r="M22" s="112">
        <f>[1]!b_info_issueamount(L22)/100000000</f>
        <v>4</v>
      </c>
      <c r="N22" s="109" t="str">
        <f>[1]!b_agency_leadunderwriter(L22)</f>
        <v>中国工商银行股份有限公司</v>
      </c>
      <c r="O22" t="str">
        <f>[1]!b_issuer_windindustry(L22,4)</f>
        <v>酒店、度假村与豪华游轮</v>
      </c>
      <c r="P22" s="107" t="str">
        <f t="shared" ca="1" si="0"/>
        <v>2019-04-17</v>
      </c>
    </row>
    <row r="23" spans="1:16" ht="15.75" customHeight="1" x14ac:dyDescent="0.25">
      <c r="A23" s="109" t="str">
        <f>[1]!b_info_name(L23)</f>
        <v>14晟晏CP001</v>
      </c>
      <c r="B23" s="2" t="str">
        <f>[1]!b_issue_firstissue(L23)</f>
        <v>2014-05-22</v>
      </c>
      <c r="C23" s="109">
        <f>[1]!b_info_term(L23)</f>
        <v>1</v>
      </c>
      <c r="D23" s="110" t="str">
        <f>[1]!issuerrating(L23)</f>
        <v>AA-</v>
      </c>
      <c r="E23" s="110" t="str">
        <f>[1]!b_info_creditrating(L23)</f>
        <v>A-1</v>
      </c>
      <c r="F23" s="109" t="str">
        <f>[1]!b_rate_creditratingagency(L23)</f>
        <v>大公国际资信评估有限公司</v>
      </c>
      <c r="G23" s="111">
        <f>[1]!b_agency_guarantor(L23)</f>
        <v>0</v>
      </c>
      <c r="H23" s="112">
        <f>[1]!b_info_couponrate(L23)</f>
        <v>7.3</v>
      </c>
      <c r="I23" s="65"/>
      <c r="J23" s="113">
        <f ca="1">[1]!b_anal_yield_cnbd(L23,P21,1)</f>
        <v>0</v>
      </c>
      <c r="K23" s="114"/>
      <c r="L23" s="6" t="s">
        <v>205</v>
      </c>
      <c r="M23" s="112">
        <f>[1]!b_info_issueamount(L23)/100000000</f>
        <v>4</v>
      </c>
      <c r="N23" s="109" t="str">
        <f>[1]!b_agency_leadunderwriter(L23)</f>
        <v>中国银行股份有限公司</v>
      </c>
      <c r="O23" t="str">
        <f>[1]!b_issuer_windindustry(L23,4)</f>
        <v>金属非金属</v>
      </c>
      <c r="P23" s="107" t="str">
        <f t="shared" ca="1" si="0"/>
        <v>2019-04-17</v>
      </c>
    </row>
    <row r="24" spans="1:16" x14ac:dyDescent="0.25">
      <c r="P24" s="107" t="str">
        <f t="shared" ca="1" si="0"/>
        <v>2019-04-17</v>
      </c>
    </row>
    <row r="25" spans="1:16" x14ac:dyDescent="0.25">
      <c r="P25" s="107" t="str">
        <f t="shared" ca="1" si="0"/>
        <v>2019-04-17</v>
      </c>
    </row>
    <row r="26" spans="1:16" x14ac:dyDescent="0.25">
      <c r="P26" s="107" t="str">
        <f t="shared" ca="1" si="0"/>
        <v>2019-04-17</v>
      </c>
    </row>
    <row r="27" spans="1:16" x14ac:dyDescent="0.25">
      <c r="P27" s="107" t="str">
        <f t="shared" ca="1" si="0"/>
        <v>2019-04-17</v>
      </c>
    </row>
    <row r="28" spans="1:16" x14ac:dyDescent="0.25">
      <c r="P28" s="107" t="str">
        <f t="shared" ca="1" si="0"/>
        <v>2019-04-17</v>
      </c>
    </row>
    <row r="29" spans="1:16" x14ac:dyDescent="0.25">
      <c r="P29" s="107" t="str">
        <f t="shared" ca="1" si="0"/>
        <v>2019-04-17</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2019-04-18T07:51:50Z</dcterms:modified>
</cp:coreProperties>
</file>