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9新券信评\"/>
    </mc:Choice>
  </mc:AlternateContent>
  <xr:revisionPtr revIDLastSave="0" documentId="13_ncr:1_{9F6DCF9B-9F7B-4B0D-B15F-508EADE945FD}"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E84" i="1"/>
  <c r="B83"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G83" i="1"/>
  <c r="F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F83" i="1"/>
  <c r="E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C83" i="1"/>
  <c r="D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6" i="1"/>
  <c r="N15" i="1"/>
  <c r="E15" i="1"/>
  <c r="F14" i="1"/>
  <c r="B14" i="1"/>
  <c r="B10" i="1"/>
  <c r="B8" i="1"/>
  <c r="E5" i="1"/>
  <c r="D16" i="1"/>
  <c r="M15" i="1"/>
  <c r="C15" i="1"/>
  <c r="E14" i="1"/>
  <c r="F11" i="1"/>
  <c r="F9" i="1"/>
  <c r="F7" i="1"/>
  <c r="B5" i="1"/>
  <c r="R15" i="1"/>
  <c r="G15" i="1"/>
  <c r="B15" i="1"/>
  <c r="D14" i="1"/>
  <c r="B11" i="1"/>
  <c r="B9" i="1"/>
  <c r="B7" i="1"/>
  <c r="E4" i="1"/>
  <c r="Q15" i="1"/>
  <c r="F15" i="1"/>
  <c r="G14" i="1"/>
  <c r="C14" i="1"/>
  <c r="F10" i="1"/>
  <c r="F8" i="1"/>
  <c r="B6" i="1"/>
  <c r="B4" i="1"/>
  <c r="J22" i="1" l="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9" i="6"/>
  <c r="J21" i="6"/>
  <c r="J16" i="6"/>
  <c r="J9" i="6"/>
  <c r="J22" i="6"/>
  <c r="J15" i="6"/>
  <c r="J7" i="6"/>
  <c r="J23" i="6"/>
  <c r="J5" i="6"/>
  <c r="J18" i="6"/>
  <c r="J20" i="6"/>
  <c r="J6" i="6"/>
</calcChain>
</file>

<file path=xl/sharedStrings.xml><?xml version="1.0" encoding="utf-8"?>
<sst xmlns="http://schemas.openxmlformats.org/spreadsheetml/2006/main" count="723" uniqueCount="299">
  <si>
    <t>d19041813.IB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</si>
  <si>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</si>
  <si>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</si>
  <si>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</si>
  <si>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</si>
  <si>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</si>
  <si>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</si>
  <si>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</si>
  <si>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</si>
  <si>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</si>
  <si>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</si>
  <si>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</si>
  <si>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</si>
  <si>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</si>
  <si>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</si>
  <si>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</si>
  <si>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</si>
  <si>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</si>
  <si>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</si>
  <si>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</si>
  <si>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</si>
  <si>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</si>
  <si>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</si>
  <si>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</si>
  <si>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</si>
  <si>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</si>
  <si>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</si>
  <si>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</si>
  <si>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</si>
  <si>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</si>
  <si>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</si>
  <si>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</si>
  <si>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</si>
  <si>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</si>
  <si>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</si>
  <si>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</si>
  <si>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</si>
  <si>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</si>
  <si>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</si>
  <si>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</si>
  <si>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</si>
  <si>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</si>
  <si>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</si>
  <si>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</si>
  <si>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</si>
  <si>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</si>
  <si>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</si>
  <si>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</si>
  <si>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</si>
  <si>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</si>
  <si>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</si>
  <si>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</si>
  <si>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</si>
  <si>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</si>
  <si>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</si>
  <si>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</si>
  <si>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</si>
  <si>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</si>
  <si>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</si>
  <si>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</si>
  <si>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</si>
  <si>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</si>
  <si>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</si>
  <si>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</si>
  <si>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</si>
  <si>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</si>
  <si>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</si>
  <si>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</si>
  <si>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</si>
  <si>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</si>
  <si>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</si>
  <si>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</si>
  <si>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</si>
  <si>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</si>
  <si>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</si>
  <si>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</si>
  <si>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</si>
  <si>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</si>
  <si>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</si>
  <si>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</si>
  <si>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</si>
  <si>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</si>
  <si>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</si>
  <si>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</si>
  <si>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</si>
  <si>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</si>
  <si>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</si>
  <si>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</si>
  <si>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</si>
  <si>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</si>
  <si>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</si>
  <si>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</si>
  <si>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</si>
  <si>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</si>
  <si>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</si>
  <si>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</si>
  <si>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</si>
  <si>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</si>
  <si>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</si>
  <si>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</si>
  <si>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</si>
  <si>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</si>
  <si>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</si>
  <si>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</si>
  <si>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</si>
  <si>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</si>
  <si>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</si>
  <si>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</si>
  <si>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</si>
  <si>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</si>
  <si>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</si>
  <si>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</si>
  <si>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</si>
  <si>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101801429.IB</t>
  </si>
  <si>
    <t>20181204</t>
  </si>
  <si>
    <t>18电科院MTN002</t>
  </si>
  <si>
    <t>101801393.IB</t>
  </si>
  <si>
    <t>20181127</t>
  </si>
  <si>
    <t>18电科院MTN001</t>
  </si>
  <si>
    <t>101769002.IB</t>
  </si>
  <si>
    <t>20170112</t>
  </si>
  <si>
    <t>17电科院MTN001</t>
  </si>
  <si>
    <t>101669029.IB</t>
  </si>
  <si>
    <t>20160914</t>
  </si>
  <si>
    <t>16电科院MTN003</t>
  </si>
  <si>
    <t>101668007.IB</t>
  </si>
  <si>
    <t>20160712</t>
  </si>
  <si>
    <t>16电科院MTN002</t>
  </si>
  <si>
    <t>011699729.IB</t>
  </si>
  <si>
    <t>20160503</t>
  </si>
  <si>
    <t>16电科院SCP003</t>
  </si>
  <si>
    <t>011699730.IB</t>
  </si>
  <si>
    <t>16电科院SCP004</t>
  </si>
  <si>
    <t>101668002.IB</t>
  </si>
  <si>
    <t>20160308</t>
  </si>
  <si>
    <t>16电科院MTN001</t>
  </si>
  <si>
    <t>011699124.IB</t>
  </si>
  <si>
    <t>20160222</t>
  </si>
  <si>
    <t>16电科院SCP002</t>
  </si>
  <si>
    <t>011699056.IB</t>
  </si>
  <si>
    <t>20160113</t>
  </si>
  <si>
    <t>16电科院SCP001</t>
  </si>
  <si>
    <t>011592003.IB</t>
  </si>
  <si>
    <t>20150522</t>
  </si>
  <si>
    <t>15电科院SCP003</t>
  </si>
  <si>
    <t>011592002.IB</t>
  </si>
  <si>
    <t>20150423</t>
  </si>
  <si>
    <t>15电科院SCP002</t>
  </si>
  <si>
    <t>011592001.IB</t>
  </si>
  <si>
    <t>20150409</t>
  </si>
  <si>
    <t>15电科院SCP001</t>
  </si>
  <si>
    <t>011492002.IB</t>
  </si>
  <si>
    <t>20141114</t>
  </si>
  <si>
    <t>14电科院SCP002</t>
  </si>
  <si>
    <t>011492001.IB</t>
  </si>
  <si>
    <t>20140520</t>
  </si>
  <si>
    <t>14电科院SCP001</t>
  </si>
  <si>
    <t>031490336.IB</t>
  </si>
  <si>
    <t>20140508</t>
  </si>
  <si>
    <t>14电科院PPN001</t>
  </si>
  <si>
    <t>041469018.IB</t>
  </si>
  <si>
    <t>20140417</t>
  </si>
  <si>
    <t>14电科院CP002</t>
  </si>
  <si>
    <t>041469015.IB</t>
  </si>
  <si>
    <t>20140410</t>
  </si>
  <si>
    <t>14电科院CP001</t>
  </si>
  <si>
    <t>031390366.IB</t>
  </si>
  <si>
    <t>20131031</t>
  </si>
  <si>
    <t>13电科院PPN001</t>
  </si>
  <si>
    <t>101369002.IB</t>
  </si>
  <si>
    <t>20130812</t>
  </si>
  <si>
    <t>13电科院MTN002</t>
  </si>
  <si>
    <t>041363012.IB</t>
  </si>
  <si>
    <t>20130807</t>
  </si>
  <si>
    <t>13电科院CP001</t>
  </si>
  <si>
    <t>1382258.IB</t>
  </si>
  <si>
    <t>20130520</t>
  </si>
  <si>
    <t>13电科院MTN1</t>
  </si>
  <si>
    <t>041269036.IB</t>
  </si>
  <si>
    <t>20121127</t>
  </si>
  <si>
    <t>12电科院CP004</t>
  </si>
  <si>
    <t>041269023.IB</t>
  </si>
  <si>
    <t>20120912</t>
  </si>
  <si>
    <t>12电科院CP003</t>
  </si>
  <si>
    <t>041264019.IB</t>
  </si>
  <si>
    <t>20120724</t>
  </si>
  <si>
    <t>12电科院CP002</t>
  </si>
  <si>
    <t>1282220.IB</t>
  </si>
  <si>
    <t>20120625</t>
  </si>
  <si>
    <t>12电科院MTN1</t>
  </si>
  <si>
    <t>041264005.IB</t>
  </si>
  <si>
    <t>20120316</t>
  </si>
  <si>
    <t>12电科院CP001</t>
  </si>
  <si>
    <t>1181193.IB</t>
  </si>
  <si>
    <t>20110421</t>
  </si>
  <si>
    <t>11电科院CP01</t>
  </si>
  <si>
    <t>0982124.IB</t>
  </si>
  <si>
    <t>20090902</t>
  </si>
  <si>
    <t>09电科院MTN1</t>
  </si>
  <si>
    <t>历史主体评级</t>
  </si>
  <si>
    <t>发布日期</t>
  </si>
  <si>
    <t>主体资信级别</t>
  </si>
  <si>
    <t>评级展望</t>
  </si>
  <si>
    <t>评级机构</t>
  </si>
  <si>
    <t>20181129</t>
  </si>
  <si>
    <t>AAA</t>
  </si>
  <si>
    <t>稳定</t>
  </si>
  <si>
    <t>中诚信国际信用评级有限责任公司</t>
  </si>
  <si>
    <t>20180719</t>
  </si>
  <si>
    <t>20170725</t>
  </si>
  <si>
    <t>20170103</t>
  </si>
  <si>
    <t>20160720</t>
  </si>
  <si>
    <t>20160330</t>
  </si>
  <si>
    <t>20150812</t>
  </si>
  <si>
    <t>20150720</t>
  </si>
  <si>
    <t>20150130</t>
  </si>
  <si>
    <t>20140717</t>
  </si>
  <si>
    <t>AA+</t>
  </si>
  <si>
    <t>20140620</t>
  </si>
  <si>
    <t>20140303</t>
  </si>
  <si>
    <t>20140128</t>
  </si>
  <si>
    <t>20130605</t>
  </si>
  <si>
    <t>20130422</t>
  </si>
  <si>
    <t>20130321</t>
  </si>
  <si>
    <t>20130228</t>
  </si>
  <si>
    <t>20120917</t>
  </si>
  <si>
    <t>20120705</t>
  </si>
  <si>
    <t>20120221</t>
  </si>
  <si>
    <t>20120214</t>
  </si>
  <si>
    <t>20111228</t>
  </si>
  <si>
    <t>20110221</t>
  </si>
  <si>
    <t>20101231</t>
  </si>
  <si>
    <t>20090818</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</si>
  <si>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</si>
  <si>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</si>
  <si>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</si>
  <si>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</si>
  <si>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</si>
  <si>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</si>
  <si>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</si>
  <si>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</si>
  <si>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</si>
  <si>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</si>
  <si>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</si>
  <si>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</si>
  <si>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</si>
  <si>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</si>
  <si>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</si>
  <si>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</si>
  <si>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</si>
  <si>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</si>
  <si>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</si>
  <si>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</si>
  <si>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</si>
  <si>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</si>
  <si>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</si>
  <si>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</si>
  <si>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</si>
  <si>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</si>
  <si>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</si>
  <si>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</si>
  <si>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</si>
  <si>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</si>
  <si>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</si>
  <si>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</si>
  <si>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</si>
  <si>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</si>
  <si>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</si>
  <si>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</si>
  <si>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</si>
  <si>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</si>
  <si>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</si>
  <si>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</si>
  <si>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</si>
  <si>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</si>
  <si>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</si>
  <si>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</si>
  <si>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</si>
  <si>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</si>
  <si>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</si>
  <si>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</si>
  <si>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</si>
  <si>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</si>
  <si>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</si>
  <si>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</si>
  <si>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</si>
  <si>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</si>
  <si>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</si>
  <si>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</si>
  <si>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</si>
  <si>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</si>
  <si>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电信科学技术研究院有限公司</t>
  </si>
  <si>
    <t>中央国有企业</t>
  </si>
  <si>
    <t>信息技术--技术硬件与设备--通信设备Ⅲ--通信设备</t>
  </si>
  <si>
    <t>北京市海淀区学院路40号一区</t>
  </si>
  <si>
    <t>公司是第三代移动通信TD-SCDMA国际标准的提出者、核心知识产权的拥有者、产业化的重要推动者，设备市场的领先者和标准演进的引领者，是目前业内唯一能够提供全套的、端到端的TD-SCDMA业务解决方案的厂商。公司在业界率先发布TD-HSUPA终端解决方案和TDOphone智能手机解决方案，并率先推出CMMB+MBMS手机电视终端解决方案。公司作为创新典范入选了国家科技部、国务院国资委和中华全国总工会“国家首批创新型企业”以及国家知识产权局“第二批专利试点单位”。仅“八五”以来，公司承担政府有关部委国家重大科技攻关计划项目、国家移动通信专项、国家高技术产业化项目、国家通信“863”计划、国家科技重大专项、电子振兴规划等项目达千余项，取得重大科技成果300余项，其中获国家及部委、省市奖励200余项，部分成果已形成产业。公司在中国移动TD-SCDMA系统设备招标中，累计提供67,560余套基站，进入22个省、市、自治区，综合市场份额排名第三，成为TD-SCDMA主流供应商和业内领先企业。在通信终端领域，公司的TD-SCDMA手机终端解决方案、TD-SCDMA测试终端、TD-SCDMA高速数据卡、3G智能卡等产品都获得30%以上的市场份额，处于绝对的优势地位。</t>
  </si>
  <si>
    <t>中国信息通信科技集团有限公司</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</si>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</sst>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电信科学技术研究院有限公司</v>
      </c>
      <c r="C4" s="120"/>
      <c r="D4" s="57" t="s">
        <v>3</v>
      </c>
      <c r="E4" s="119" t="str">
        <f>[1]!s_info_nature(A2)</f>
        <v>中央国有企业</v>
      </c>
      <c r="F4" s="120"/>
      <c r="G4" s="120"/>
      <c r="H4" s="19"/>
    </row>
    <row r="5" spans="1:20" s="17" customFormat="1" ht="14.25" customHeight="1" x14ac:dyDescent="0.25">
      <c r="A5" s="57" t="s">
        <v>4</v>
      </c>
      <c r="B5" s="119" t="str">
        <f>[1]!b_issuer_windindustry(A2,9)</f>
        <v>信息技术--技术硬件与设备--通信设备Ⅲ--通信设备</v>
      </c>
      <c r="C5" s="120"/>
      <c r="D5" s="57" t="s">
        <v>5</v>
      </c>
      <c r="E5" s="119" t="str">
        <f>[1]!b_issuer_regaddress(A2)</f>
        <v>北京市海淀区学院路40号一区</v>
      </c>
      <c r="F5" s="120"/>
      <c r="G5" s="120"/>
    </row>
    <row r="6" spans="1:20" s="17" customFormat="1" ht="81" customHeight="1" x14ac:dyDescent="0.25">
      <c r="A6" s="57" t="s">
        <v>6</v>
      </c>
      <c r="B6" s="121" t="str">
        <f>[1]!s_info_briefing(A2)</f>
        <v>公司是第三代移动通信TD-SCDMA国际标准的提出者、核心知识产权的拥有者、产业化的重要推动者，设备市场的领先者和标准演进的引领者，是目前业内唯一能够提供全套的、端到端的TD-SCDMA业务解决方案的厂商。公司在业界率先发布TD-HSUPA终端解决方案和TDOphone智能手机解决方案，并率先推出CMMB+MBMS手机电视终端解决方案。公司作为创新典范入选了国家科技部、国务院国资委和中华全国总工会“国家首批创新型企业”以及国家知识产权局“第二批专利试点单位”。仅“八五”以来，公司承担政府有关部委国家重大科技攻关计划项目、国家移动通信专项、国家高技术产业化项目、国家通信“863”计划、国家科技重大专项、电子振兴规划等项目达千余项，取得重大科技成果300余项，其中获国家及部委、省市奖励200余项，部分成果已形成产业。公司在中国移动TD-SCDMA系统设备招标中，累计提供67,560余套基站，进入22个省、市、自治区，综合市场份额排名第三，成为TD-SCDMA主流供应商和业内领先企业。在通信终端领域，公司的TD-SCDMA手机终端解决方案、TD-SCDMA测试终端、TD-SCDMA高速数据卡、3G智能卡等产品都获得30%以上的市场份额，处于绝对的优势地位。</v>
      </c>
      <c r="C6" s="120"/>
      <c r="D6" s="120"/>
      <c r="E6" s="120"/>
      <c r="F6" s="120"/>
      <c r="G6" s="120"/>
    </row>
    <row r="7" spans="1:20" s="17" customFormat="1" x14ac:dyDescent="0.25">
      <c r="A7" s="59" t="s">
        <v>7</v>
      </c>
      <c r="B7" s="122" t="str">
        <f>[1]!b_issuer_shareholder(A2,"",1)</f>
        <v>中国信息通信科技集团有限公司</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d19041813.IB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电信科学技术研究院有限公司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中央国有企业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387.98214905570001</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0.519783</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1.4337</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0.58247934313219596</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-6.9000000000000006E-2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191.25346776680001</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1.2269000000000001</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0.174569</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-28.1290599513</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-6.8616999999999997E-2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2.2768763184999998</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3937536451.5900002</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124557351.3</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816770813.25999999</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986319255.48000002</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4987320439.5200005</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18631569409.470001</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d19041813.IB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0.519783</v>
      </c>
      <c r="C109" s="54" t="s">
        <v>29</v>
      </c>
      <c r="D109" s="72">
        <f>[1]!s_fa_current(A2,B2)</f>
        <v>1.4337</v>
      </c>
      <c r="E109" s="54" t="s">
        <v>33</v>
      </c>
      <c r="F109" s="73">
        <f>[1]!s_fa_salescashintoor(A2,B2)/100</f>
        <v>1.2269000000000001</v>
      </c>
      <c r="G109" s="54" t="s">
        <v>34</v>
      </c>
      <c r="H109" s="12">
        <f>S109/100</f>
        <v>0.174569</v>
      </c>
      <c r="I109" s="54"/>
      <c r="J109" s="16"/>
      <c r="K109" s="25"/>
      <c r="L109" s="34" t="s">
        <v>53</v>
      </c>
      <c r="M109" s="74">
        <f>[1]!s_fa_debttoassets(A2,B2)</f>
        <v>51.978299999999997</v>
      </c>
      <c r="N109" s="54" t="s">
        <v>29</v>
      </c>
      <c r="O109" s="35"/>
      <c r="P109" s="54" t="s">
        <v>33</v>
      </c>
      <c r="Q109" s="35"/>
      <c r="R109" s="54" t="s">
        <v>34</v>
      </c>
      <c r="S109" s="75">
        <f>[1]!s_fa_grossprofitmargin(A2,B2)</f>
        <v>17.456900000000001</v>
      </c>
    </row>
    <row r="110" spans="1:19" ht="15.75" customHeight="1" x14ac:dyDescent="0.25">
      <c r="A110" s="54" t="s">
        <v>54</v>
      </c>
      <c r="B110" s="12">
        <f>M110/100</f>
        <v>0.48419800000000002</v>
      </c>
      <c r="C110" s="54" t="s">
        <v>55</v>
      </c>
      <c r="D110" s="73">
        <f>[1]!s_fa_quick(A2,B2)</f>
        <v>1.2097</v>
      </c>
      <c r="E110" s="54" t="s">
        <v>56</v>
      </c>
      <c r="F110" s="72">
        <f>[1]!s_fa_arturn(A2,B2)</f>
        <v>3.4068999999999998</v>
      </c>
      <c r="G110" s="54" t="s">
        <v>57</v>
      </c>
      <c r="H110" s="12">
        <f>S110/100</f>
        <v>-0.13631299999999999</v>
      </c>
      <c r="I110" s="54"/>
      <c r="J110" s="16"/>
      <c r="L110" s="54" t="s">
        <v>54</v>
      </c>
      <c r="M110" s="74">
        <f>[1]!s_fa_catoassets(A2,B2)</f>
        <v>48.419800000000002</v>
      </c>
      <c r="N110" s="54" t="s">
        <v>55</v>
      </c>
      <c r="O110" s="35"/>
      <c r="P110" s="54" t="s">
        <v>56</v>
      </c>
      <c r="Q110" s="73"/>
      <c r="R110" s="54" t="s">
        <v>57</v>
      </c>
      <c r="S110" s="75">
        <f>[1]!s_fa_optogr(A2,B2)</f>
        <v>-13.6313</v>
      </c>
    </row>
    <row r="111" spans="1:19" ht="15" customHeight="1" x14ac:dyDescent="0.25">
      <c r="A111" s="54" t="s">
        <v>58</v>
      </c>
      <c r="B111" s="12">
        <f>M111/100</f>
        <v>0.64973600000000009</v>
      </c>
      <c r="C111" s="54" t="s">
        <v>31</v>
      </c>
      <c r="D111" s="73">
        <f>[1]!s_fa_ebitdatodebt(A2,B2)</f>
        <v>-6.9000000000000006E-2</v>
      </c>
      <c r="E111" s="54" t="s">
        <v>59</v>
      </c>
      <c r="F111" s="72">
        <f>[1]!s_fa_invturn(A2,B2)</f>
        <v>4.9271000000000003</v>
      </c>
      <c r="G111" s="54" t="s">
        <v>37</v>
      </c>
      <c r="H111" s="12">
        <f>S111/100</f>
        <v>-6.8616999999999997E-2</v>
      </c>
      <c r="I111" s="54"/>
      <c r="J111" s="16"/>
      <c r="L111" s="54" t="s">
        <v>58</v>
      </c>
      <c r="M111" s="74">
        <f>[1]!s_fa_currentdebttodebt(A2,B2)</f>
        <v>64.973600000000005</v>
      </c>
      <c r="N111" s="54" t="s">
        <v>31</v>
      </c>
      <c r="O111" s="35"/>
      <c r="P111" s="54" t="s">
        <v>59</v>
      </c>
      <c r="Q111" s="35"/>
      <c r="R111" s="54" t="s">
        <v>37</v>
      </c>
      <c r="S111" s="75">
        <f>[1]!s_fa_roe(A2,B2)</f>
        <v>-6.8616999999999999</v>
      </c>
    </row>
    <row r="112" spans="1:19" ht="14.25" customHeight="1" x14ac:dyDescent="0.25">
      <c r="A112" s="54" t="s">
        <v>30</v>
      </c>
      <c r="B112" s="76">
        <f>(M116+M117+M118+M119+M120+M121)/M123</f>
        <v>0.58247934313219596</v>
      </c>
      <c r="C112" s="54" t="s">
        <v>60</v>
      </c>
      <c r="D112" s="73">
        <f>[1]!s_fa_ebittointerest(A2,B2)</f>
        <v>-5.6242999999999999</v>
      </c>
      <c r="E112" s="54" t="s">
        <v>61</v>
      </c>
      <c r="F112" s="72">
        <f>[1]!s_fa_caturn(A2,B2)</f>
        <v>0.93840000000000001</v>
      </c>
      <c r="G112" s="54" t="s">
        <v>62</v>
      </c>
      <c r="H112" s="12">
        <f>S112/100</f>
        <v>-5.4429999999999999E-2</v>
      </c>
      <c r="I112" s="54"/>
      <c r="J112" s="16"/>
      <c r="L112" s="54" t="s">
        <v>30</v>
      </c>
      <c r="M112" s="77"/>
      <c r="N112" s="54" t="s">
        <v>60</v>
      </c>
      <c r="O112" s="35"/>
      <c r="P112" s="54" t="s">
        <v>61</v>
      </c>
      <c r="Q112" s="35"/>
      <c r="R112" s="54" t="s">
        <v>62</v>
      </c>
      <c r="S112" s="75">
        <f>[1]!s_fa_roa2(A2,B2)</f>
        <v>-5.4429999999999996</v>
      </c>
    </row>
    <row r="113" spans="1:21" x14ac:dyDescent="0.25">
      <c r="A113" s="30"/>
      <c r="B113" s="31"/>
      <c r="C113" s="30"/>
      <c r="D113" s="32"/>
      <c r="E113" s="30" t="s">
        <v>63</v>
      </c>
      <c r="F113" s="78">
        <f>[1]!s_fa_dupont_faturnover(A2,B2)</f>
        <v>0.46899999999999997</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3937536451.5900002</v>
      </c>
    </row>
    <row r="117" spans="1:21" ht="14.25" customHeight="1" x14ac:dyDescent="0.25">
      <c r="A117" s="54" t="s">
        <v>69</v>
      </c>
      <c r="B117" s="73">
        <f t="shared" ref="B117:B131" si="1">M127/100000000</f>
        <v>71.711852661099996</v>
      </c>
      <c r="C117" s="54" t="s">
        <v>70</v>
      </c>
      <c r="D117" s="76">
        <f t="shared" ref="D117:D125" si="2">O127/100000000</f>
        <v>191.67019028619998</v>
      </c>
      <c r="E117" s="131" t="s">
        <v>71</v>
      </c>
      <c r="F117" s="124"/>
      <c r="G117" s="124"/>
      <c r="H117" s="132">
        <f t="shared" ref="H117:H131" si="3">S127/100000000</f>
        <v>234.64165100939999</v>
      </c>
      <c r="I117" s="124"/>
      <c r="J117" s="124"/>
      <c r="L117" s="17" t="s">
        <v>40</v>
      </c>
      <c r="M117" s="71">
        <f>[1]!b_stm07_bs(K107,82,L107,1)</f>
        <v>124557351.3</v>
      </c>
    </row>
    <row r="118" spans="1:21" ht="14.25" customHeight="1" x14ac:dyDescent="0.25">
      <c r="A118" s="54" t="s">
        <v>72</v>
      </c>
      <c r="B118" s="73">
        <f t="shared" si="1"/>
        <v>48.491656666800004</v>
      </c>
      <c r="C118" s="54" t="s">
        <v>73</v>
      </c>
      <c r="D118" s="76">
        <f t="shared" si="2"/>
        <v>228.08630720880001</v>
      </c>
      <c r="E118" s="131" t="s">
        <v>74</v>
      </c>
      <c r="F118" s="124"/>
      <c r="G118" s="124"/>
      <c r="H118" s="132">
        <f t="shared" si="3"/>
        <v>268.2225425561</v>
      </c>
      <c r="I118" s="124"/>
      <c r="J118" s="124"/>
      <c r="L118" s="17" t="s">
        <v>41</v>
      </c>
      <c r="M118" s="71">
        <f>[1]!b_stm07_bs(K107,88,L107,1)</f>
        <v>816770813.25999999</v>
      </c>
    </row>
    <row r="119" spans="1:21" ht="14.25" customHeight="1" x14ac:dyDescent="0.25">
      <c r="A119" s="54" t="s">
        <v>75</v>
      </c>
      <c r="B119" s="73">
        <f t="shared" si="1"/>
        <v>12.321111031800001</v>
      </c>
      <c r="C119" s="54" t="s">
        <v>76</v>
      </c>
      <c r="D119" s="76">
        <f t="shared" si="2"/>
        <v>157.86648937140001</v>
      </c>
      <c r="E119" s="131" t="s">
        <v>77</v>
      </c>
      <c r="F119" s="124"/>
      <c r="G119" s="124"/>
      <c r="H119" s="133">
        <f t="shared" si="3"/>
        <v>502.78137125889998</v>
      </c>
      <c r="I119" s="124"/>
      <c r="J119" s="124"/>
      <c r="L119" s="17" t="s">
        <v>42</v>
      </c>
      <c r="M119" s="71">
        <f>[1]!b_stm07_bs(K107,147,L107,1)</f>
        <v>0</v>
      </c>
    </row>
    <row r="120" spans="1:21" ht="14.25" customHeight="1" x14ac:dyDescent="0.25">
      <c r="A120" s="54" t="s">
        <v>78</v>
      </c>
      <c r="B120" s="73">
        <f t="shared" si="1"/>
        <v>16.569501262100001</v>
      </c>
      <c r="C120" s="54" t="s">
        <v>79</v>
      </c>
      <c r="D120" s="76">
        <f t="shared" si="2"/>
        <v>8.2801371814000007</v>
      </c>
      <c r="E120" s="131" t="s">
        <v>80</v>
      </c>
      <c r="F120" s="124"/>
      <c r="G120" s="124"/>
      <c r="H120" s="132">
        <f t="shared" si="3"/>
        <v>188.6769683478</v>
      </c>
      <c r="I120" s="124"/>
      <c r="J120" s="124"/>
      <c r="L120" s="17" t="s">
        <v>43</v>
      </c>
      <c r="M120" s="71">
        <f>[1]!b_stm07_bs(K107,94,L107,1)</f>
        <v>986319255.48000002</v>
      </c>
    </row>
    <row r="121" spans="1:21" ht="14.25" customHeight="1" x14ac:dyDescent="0.25">
      <c r="A121" s="54" t="s">
        <v>81</v>
      </c>
      <c r="B121" s="73">
        <f t="shared" si="1"/>
        <v>7.08593925</v>
      </c>
      <c r="C121" s="54" t="s">
        <v>82</v>
      </c>
      <c r="D121" s="76">
        <f t="shared" si="2"/>
        <v>32.166667866099999</v>
      </c>
      <c r="E121" s="131" t="s">
        <v>83</v>
      </c>
      <c r="F121" s="124"/>
      <c r="G121" s="124"/>
      <c r="H121" s="132">
        <f t="shared" si="3"/>
        <v>269.10686250419997</v>
      </c>
      <c r="I121" s="124"/>
      <c r="J121" s="124"/>
      <c r="L121" s="17" t="s">
        <v>44</v>
      </c>
      <c r="M121" s="71">
        <f>[1]!b_stm07_bs(K107,95,L107,1)</f>
        <v>4987320439.5200005</v>
      </c>
    </row>
    <row r="122" spans="1:21" ht="14.25" customHeight="1" x14ac:dyDescent="0.25">
      <c r="A122" s="54" t="s">
        <v>84</v>
      </c>
      <c r="B122" s="73">
        <f t="shared" si="1"/>
        <v>18.330444721599999</v>
      </c>
      <c r="C122" s="54" t="s">
        <v>85</v>
      </c>
      <c r="D122" s="76">
        <f t="shared" si="2"/>
        <v>3.8129088647000002</v>
      </c>
      <c r="E122" s="131" t="s">
        <v>86</v>
      </c>
      <c r="F122" s="124"/>
      <c r="G122" s="124"/>
      <c r="H122" s="133">
        <f t="shared" si="3"/>
        <v>500.50449494040004</v>
      </c>
      <c r="I122" s="124"/>
      <c r="J122" s="124"/>
      <c r="L122" s="17"/>
      <c r="M122" s="17"/>
    </row>
    <row r="123" spans="1:21" ht="14.25" customHeight="1" x14ac:dyDescent="0.25">
      <c r="A123" s="54" t="s">
        <v>87</v>
      </c>
      <c r="B123" s="79">
        <f t="shared" si="1"/>
        <v>387.98214905570001</v>
      </c>
      <c r="C123" s="54" t="s">
        <v>88</v>
      </c>
      <c r="D123" s="76">
        <f t="shared" si="2"/>
        <v>-26.1271915996</v>
      </c>
      <c r="E123" s="131" t="s">
        <v>89</v>
      </c>
      <c r="F123" s="124"/>
      <c r="G123" s="124"/>
      <c r="H123" s="133">
        <f t="shared" si="3"/>
        <v>2.2768763184999998</v>
      </c>
      <c r="I123" s="124"/>
      <c r="J123" s="124"/>
      <c r="L123" s="17" t="s">
        <v>45</v>
      </c>
      <c r="M123" s="71">
        <f>[1]!b_stm07_bs(K107,141,L107,1)</f>
        <v>18631569409.470001</v>
      </c>
    </row>
    <row r="124" spans="1:21" ht="14.25" customHeight="1" x14ac:dyDescent="0.25">
      <c r="A124" s="54" t="s">
        <v>90</v>
      </c>
      <c r="B124" s="73">
        <f t="shared" si="1"/>
        <v>39.375364515900003</v>
      </c>
      <c r="C124" s="54" t="s">
        <v>91</v>
      </c>
      <c r="D124" s="76">
        <f t="shared" si="2"/>
        <v>-26.199940276100001</v>
      </c>
      <c r="E124" s="131" t="s">
        <v>92</v>
      </c>
      <c r="F124" s="124"/>
      <c r="G124" s="124"/>
      <c r="H124" s="133">
        <f t="shared" si="3"/>
        <v>-8.7444868829000004</v>
      </c>
      <c r="I124" s="124"/>
      <c r="J124" s="124"/>
      <c r="L124" s="17"/>
      <c r="M124" s="17"/>
    </row>
    <row r="125" spans="1:21" ht="27" customHeight="1" x14ac:dyDescent="0.25">
      <c r="A125" s="54" t="s">
        <v>93</v>
      </c>
      <c r="B125" s="73">
        <f t="shared" si="1"/>
        <v>8.1677081325999996</v>
      </c>
      <c r="C125" s="54" t="s">
        <v>35</v>
      </c>
      <c r="D125" s="76">
        <f t="shared" si="2"/>
        <v>-28.1290599513</v>
      </c>
      <c r="E125" s="131" t="s">
        <v>94</v>
      </c>
      <c r="F125" s="124"/>
      <c r="G125" s="124"/>
      <c r="H125" s="132">
        <f t="shared" si="3"/>
        <v>1.3174360000000001</v>
      </c>
      <c r="I125" s="124"/>
      <c r="J125" s="124"/>
      <c r="L125" s="17"/>
      <c r="M125" s="17"/>
    </row>
    <row r="126" spans="1:21" ht="16.5" customHeight="1" x14ac:dyDescent="0.25">
      <c r="A126" s="54" t="s">
        <v>95</v>
      </c>
      <c r="B126" s="73">
        <f t="shared" si="1"/>
        <v>0</v>
      </c>
      <c r="C126" s="54"/>
      <c r="D126" s="80"/>
      <c r="E126" s="131" t="s">
        <v>96</v>
      </c>
      <c r="F126" s="124"/>
      <c r="G126" s="124"/>
      <c r="H126" s="132">
        <f t="shared" si="3"/>
        <v>76.502289941900003</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9.8631925547999995</v>
      </c>
      <c r="C127" s="54"/>
      <c r="D127" s="80"/>
      <c r="E127" s="131" t="s">
        <v>98</v>
      </c>
      <c r="F127" s="124"/>
      <c r="G127" s="124"/>
      <c r="H127" s="132">
        <f t="shared" si="3"/>
        <v>10</v>
      </c>
      <c r="I127" s="124"/>
      <c r="J127" s="124"/>
      <c r="L127" s="54" t="s">
        <v>69</v>
      </c>
      <c r="M127" s="75">
        <f>[1]!b_stm07_bs(K107,9,L107,1)</f>
        <v>7171185266.1099997</v>
      </c>
      <c r="N127" s="54" t="s">
        <v>70</v>
      </c>
      <c r="O127" s="75">
        <f>[1]!b_stm07_is(K107,83,L107,1)</f>
        <v>19167019028.619999</v>
      </c>
      <c r="P127" s="131" t="s">
        <v>71</v>
      </c>
      <c r="Q127" s="124"/>
      <c r="R127" s="124"/>
      <c r="S127" s="136">
        <f>[1]!b_stm07_cs(K107,9,L107,1)</f>
        <v>23464165100.939999</v>
      </c>
      <c r="T127" s="135"/>
      <c r="U127" s="135"/>
    </row>
    <row r="128" spans="1:21" ht="14.25" customHeight="1" x14ac:dyDescent="0.25">
      <c r="A128" s="54" t="s">
        <v>99</v>
      </c>
      <c r="B128" s="73">
        <f t="shared" si="1"/>
        <v>49.873204395200005</v>
      </c>
      <c r="C128" s="54"/>
      <c r="D128" s="80"/>
      <c r="E128" s="131" t="s">
        <v>100</v>
      </c>
      <c r="F128" s="124"/>
      <c r="G128" s="124"/>
      <c r="H128" s="133">
        <f t="shared" si="3"/>
        <v>88.037164592500005</v>
      </c>
      <c r="I128" s="124"/>
      <c r="J128" s="124"/>
      <c r="L128" s="54" t="s">
        <v>72</v>
      </c>
      <c r="M128" s="75">
        <f>[1]!b_stm07_bs(K107,12,L107,1)</f>
        <v>4849165666.6800003</v>
      </c>
      <c r="N128" s="54" t="s">
        <v>73</v>
      </c>
      <c r="O128" s="75">
        <f>[1]!b_stm07_is(K107,84,L107,1)</f>
        <v>22808630720.880001</v>
      </c>
      <c r="P128" s="131" t="s">
        <v>74</v>
      </c>
      <c r="Q128" s="124"/>
      <c r="R128" s="124"/>
      <c r="S128" s="136">
        <f>[1]!b_stm07_cs(K107,11,L107,1)</f>
        <v>26822254255.610001</v>
      </c>
      <c r="T128" s="135"/>
      <c r="U128" s="135"/>
    </row>
    <row r="129" spans="1:21" ht="14.25" customHeight="1" x14ac:dyDescent="0.25">
      <c r="A129" s="54" t="s">
        <v>101</v>
      </c>
      <c r="B129" s="79">
        <f t="shared" si="1"/>
        <v>201.66645496099997</v>
      </c>
      <c r="C129" s="14"/>
      <c r="D129" s="13"/>
      <c r="E129" s="131" t="s">
        <v>102</v>
      </c>
      <c r="F129" s="124"/>
      <c r="G129" s="124"/>
      <c r="H129" s="132">
        <f t="shared" si="3"/>
        <v>86.621853694999999</v>
      </c>
      <c r="I129" s="124"/>
      <c r="J129" s="124"/>
      <c r="L129" s="54" t="s">
        <v>75</v>
      </c>
      <c r="M129" s="75">
        <f>[1]!b_stm07_bs(K107,13,L107,1)</f>
        <v>1232111103.1800001</v>
      </c>
      <c r="N129" s="54" t="s">
        <v>76</v>
      </c>
      <c r="O129" s="75">
        <f>[1]!b_stm07_is(K107,10,L107,1)</f>
        <v>15786648937.139999</v>
      </c>
      <c r="P129" s="131" t="s">
        <v>77</v>
      </c>
      <c r="Q129" s="124"/>
      <c r="R129" s="124"/>
      <c r="S129" s="137">
        <f>[1]!b_stm07_cs(K107,25,L107,1)</f>
        <v>50278137125.889999</v>
      </c>
      <c r="T129" s="135"/>
      <c r="U129" s="135"/>
    </row>
    <row r="130" spans="1:21" ht="14.25" customHeight="1" x14ac:dyDescent="0.25">
      <c r="A130" s="54" t="s">
        <v>103</v>
      </c>
      <c r="B130" s="79">
        <f t="shared" si="1"/>
        <v>186.31569409470001</v>
      </c>
      <c r="C130" s="14"/>
      <c r="D130" s="13"/>
      <c r="E130" s="131" t="s">
        <v>104</v>
      </c>
      <c r="F130" s="124"/>
      <c r="G130" s="124"/>
      <c r="H130" s="132">
        <f t="shared" si="3"/>
        <v>93.026015519599994</v>
      </c>
      <c r="I130" s="124"/>
      <c r="J130" s="124"/>
      <c r="L130" s="54" t="s">
        <v>78</v>
      </c>
      <c r="M130" s="75">
        <f>[1]!b_stm07_bs(K107,31,L107,1)</f>
        <v>1656950126.21</v>
      </c>
      <c r="N130" s="54" t="s">
        <v>79</v>
      </c>
      <c r="O130" s="75">
        <f>[1]!b_stm07_is(K107,12,L107,1)</f>
        <v>828013718.13999999</v>
      </c>
      <c r="P130" s="131" t="s">
        <v>80</v>
      </c>
      <c r="Q130" s="124"/>
      <c r="R130" s="124"/>
      <c r="S130" s="136">
        <f>[1]!b_stm07_cs(K107,26,L107,1)</f>
        <v>18867696834.779999</v>
      </c>
      <c r="T130" s="135"/>
      <c r="U130" s="135"/>
    </row>
    <row r="131" spans="1:21" ht="14.25" customHeight="1" x14ac:dyDescent="0.25">
      <c r="A131" s="15" t="s">
        <v>105</v>
      </c>
      <c r="B131" s="79">
        <f t="shared" si="1"/>
        <v>387.98214905570001</v>
      </c>
      <c r="C131" s="14"/>
      <c r="D131" s="13"/>
      <c r="E131" s="131" t="s">
        <v>106</v>
      </c>
      <c r="F131" s="124"/>
      <c r="G131" s="124"/>
      <c r="H131" s="133">
        <f t="shared" si="3"/>
        <v>-4.9888509270999997</v>
      </c>
      <c r="I131" s="124"/>
      <c r="J131" s="124"/>
      <c r="L131" s="54" t="s">
        <v>81</v>
      </c>
      <c r="M131" s="75">
        <f>[1]!b_stm07_bs(K107,33,L107,1)</f>
        <v>708593925</v>
      </c>
      <c r="N131" s="54" t="s">
        <v>82</v>
      </c>
      <c r="O131" s="75">
        <f>[1]!b_stm07_is(K107,13,L107,1)</f>
        <v>3216666786.6100001</v>
      </c>
      <c r="P131" s="131" t="s">
        <v>83</v>
      </c>
      <c r="Q131" s="124"/>
      <c r="R131" s="124"/>
      <c r="S131" s="136">
        <f>[1]!b_stm07_cs(K107,29,L107,1)</f>
        <v>26910686250.419998</v>
      </c>
      <c r="T131" s="135"/>
      <c r="U131" s="135"/>
    </row>
    <row r="132" spans="1:21" x14ac:dyDescent="0.25">
      <c r="L132" s="54" t="s">
        <v>84</v>
      </c>
      <c r="M132" s="75">
        <f>[1]!b_stm07_bs(K107,37,L107,1)</f>
        <v>1833044472.1600001</v>
      </c>
      <c r="N132" s="54" t="s">
        <v>85</v>
      </c>
      <c r="O132" s="75">
        <f>[1]!b_stm07_is(K107,14,L107,1)</f>
        <v>381290886.47000003</v>
      </c>
      <c r="P132" s="131" t="s">
        <v>86</v>
      </c>
      <c r="Q132" s="124"/>
      <c r="R132" s="124"/>
      <c r="S132" s="137">
        <f>[1]!b_stm07_cs(K107,37,L107,1)</f>
        <v>50050449494.040001</v>
      </c>
      <c r="T132" s="135"/>
      <c r="U132" s="135"/>
    </row>
    <row r="133" spans="1:21" x14ac:dyDescent="0.25">
      <c r="L133" s="54" t="s">
        <v>87</v>
      </c>
      <c r="M133" s="81">
        <f>[1]!b_stm07_bs(K107,74,L107,1)</f>
        <v>38798214905.57</v>
      </c>
      <c r="N133" s="54" t="s">
        <v>88</v>
      </c>
      <c r="O133" s="75">
        <f>[1]!b_stm07_is(K107,48,L107,1)</f>
        <v>-2612719159.96</v>
      </c>
      <c r="P133" s="131" t="s">
        <v>89</v>
      </c>
      <c r="Q133" s="124"/>
      <c r="R133" s="124"/>
      <c r="S133" s="137">
        <f>[1]!b_stm07_cs(K107,39,L107,1)</f>
        <v>227687631.84999999</v>
      </c>
      <c r="T133" s="135"/>
      <c r="U133" s="135"/>
    </row>
    <row r="134" spans="1:21" x14ac:dyDescent="0.25">
      <c r="L134" s="54" t="s">
        <v>90</v>
      </c>
      <c r="M134" s="75">
        <f>[1]!b_stm07_bs(K107,75,L107,1)</f>
        <v>3937536451.5900002</v>
      </c>
      <c r="N134" s="54" t="s">
        <v>91</v>
      </c>
      <c r="O134" s="75">
        <f>[1]!b_stm07_is(K107,55,L107,1)</f>
        <v>-2619994027.6100001</v>
      </c>
      <c r="P134" s="131" t="s">
        <v>92</v>
      </c>
      <c r="Q134" s="124"/>
      <c r="R134" s="124"/>
      <c r="S134" s="137">
        <f>[1]!b_stm07_cs(K107,59,L107,1)</f>
        <v>-874448688.28999996</v>
      </c>
      <c r="T134" s="135"/>
      <c r="U134" s="135"/>
    </row>
    <row r="135" spans="1:21" ht="32.4" customHeight="1" x14ac:dyDescent="0.25">
      <c r="L135" s="54" t="s">
        <v>93</v>
      </c>
      <c r="M135" s="75">
        <f>[1]!b_stm07_bs(K107,88,L107,1)</f>
        <v>816770813.25999999</v>
      </c>
      <c r="N135" s="54" t="s">
        <v>35</v>
      </c>
      <c r="O135" s="75">
        <f>[1]!b_stm07_is(K107,60,L107,1)</f>
        <v>-2812905995.1300001</v>
      </c>
      <c r="P135" s="131" t="s">
        <v>94</v>
      </c>
      <c r="Q135" s="124"/>
      <c r="R135" s="124"/>
      <c r="S135" s="136">
        <f>[1]!b_stm07_cs(K107,60,L107,1)</f>
        <v>131743600</v>
      </c>
      <c r="T135" s="135"/>
      <c r="U135" s="135"/>
    </row>
    <row r="136" spans="1:21" ht="21.6" customHeight="1" x14ac:dyDescent="0.25">
      <c r="L136" s="54" t="s">
        <v>95</v>
      </c>
      <c r="M136" s="75">
        <f>[1]!b_stm07_bs(K107,147,L107,1)</f>
        <v>0</v>
      </c>
      <c r="N136" s="54"/>
      <c r="O136" s="80"/>
      <c r="P136" s="131" t="s">
        <v>96</v>
      </c>
      <c r="Q136" s="124"/>
      <c r="R136" s="124"/>
      <c r="S136" s="136">
        <f>[1]!b_stm07_cs(K107,61,L107,1)</f>
        <v>7650228994.1899996</v>
      </c>
      <c r="T136" s="135"/>
      <c r="U136" s="135"/>
    </row>
    <row r="137" spans="1:21" x14ac:dyDescent="0.25">
      <c r="L137" s="54" t="s">
        <v>97</v>
      </c>
      <c r="M137" s="75">
        <f>[1]!b_stm07_bs(K107,94,L107,1)</f>
        <v>986319255.48000002</v>
      </c>
      <c r="N137" s="54"/>
      <c r="O137" s="80"/>
      <c r="P137" s="131" t="s">
        <v>98</v>
      </c>
      <c r="Q137" s="124"/>
      <c r="R137" s="124"/>
      <c r="S137" s="136">
        <f>[1]!b_stm07_cs(K107,63,L107,1)</f>
        <v>1000000000</v>
      </c>
      <c r="T137" s="135"/>
      <c r="U137" s="135"/>
    </row>
    <row r="138" spans="1:21" x14ac:dyDescent="0.25">
      <c r="L138" s="54" t="s">
        <v>99</v>
      </c>
      <c r="M138" s="75">
        <f>[1]!b_stm07_bs(K107,95,L107,1)</f>
        <v>4987320439.5200005</v>
      </c>
      <c r="N138" s="54"/>
      <c r="O138" s="80"/>
      <c r="P138" s="131" t="s">
        <v>100</v>
      </c>
      <c r="Q138" s="124"/>
      <c r="R138" s="124"/>
      <c r="S138" s="137">
        <f>[1]!b_stm07_cs(K107,68,L107,1)</f>
        <v>8803716459.25</v>
      </c>
      <c r="T138" s="135"/>
      <c r="U138" s="135"/>
    </row>
    <row r="139" spans="1:21" x14ac:dyDescent="0.25">
      <c r="L139" s="54" t="s">
        <v>101</v>
      </c>
      <c r="M139" s="81">
        <f>[1]!b_stm07_bs(K107,128,L107,1)</f>
        <v>20166645496.099998</v>
      </c>
      <c r="N139" s="14"/>
      <c r="O139" s="13"/>
      <c r="P139" s="131" t="s">
        <v>102</v>
      </c>
      <c r="Q139" s="124"/>
      <c r="R139" s="124"/>
      <c r="S139" s="136">
        <f>[1]!b_stm07_cs(K107,69,L107,1)</f>
        <v>8662185369.5</v>
      </c>
      <c r="T139" s="135"/>
      <c r="U139" s="135"/>
    </row>
    <row r="140" spans="1:21" ht="21.6" customHeight="1" x14ac:dyDescent="0.25">
      <c r="L140" s="54" t="s">
        <v>103</v>
      </c>
      <c r="M140" s="81">
        <f>[1]!b_stm07_bs(K107,141,L107,1)</f>
        <v>18631569409.470001</v>
      </c>
      <c r="N140" s="14"/>
      <c r="O140" s="13"/>
      <c r="P140" s="131" t="s">
        <v>104</v>
      </c>
      <c r="Q140" s="124"/>
      <c r="R140" s="124"/>
      <c r="S140" s="136">
        <f>[1]!b_stm07_cs(K107,75,L107,1)</f>
        <v>9302601551.9599991</v>
      </c>
      <c r="T140" s="135"/>
      <c r="U140" s="135"/>
    </row>
    <row r="141" spans="1:21" ht="21.6" customHeight="1" x14ac:dyDescent="0.25">
      <c r="L141" s="15" t="s">
        <v>105</v>
      </c>
      <c r="M141" s="81">
        <f>[1]!b_stm07_bs(K107,145,L107,1)</f>
        <v>38798214905.57</v>
      </c>
      <c r="N141" s="14"/>
      <c r="O141" s="13"/>
      <c r="P141" s="131" t="s">
        <v>106</v>
      </c>
      <c r="Q141" s="124"/>
      <c r="R141" s="124"/>
      <c r="S141" s="137">
        <f>[1]!b_stm07_cs(K107,77,L107,1)</f>
        <v>-498885092.70999998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291</v>
      </c>
      <c r="C2" s="120"/>
      <c r="D2" s="57" t="s">
        <v>3</v>
      </c>
      <c r="E2" s="119" t="s">
        <v>292</v>
      </c>
      <c r="F2" s="120"/>
      <c r="G2" s="120"/>
    </row>
    <row r="3" spans="1:12" ht="14.25" customHeight="1" x14ac:dyDescent="0.25">
      <c r="A3" s="57" t="s">
        <v>4</v>
      </c>
      <c r="B3" s="119" t="s">
        <v>293</v>
      </c>
      <c r="C3" s="120"/>
      <c r="D3" s="57" t="s">
        <v>5</v>
      </c>
      <c r="E3" s="119" t="s">
        <v>294</v>
      </c>
      <c r="F3" s="120"/>
      <c r="G3" s="120"/>
    </row>
    <row r="4" spans="1:12" ht="113.25" customHeight="1" x14ac:dyDescent="0.25">
      <c r="A4" s="57" t="s">
        <v>6</v>
      </c>
      <c r="B4" s="121" t="s">
        <v>295</v>
      </c>
      <c r="C4" s="120"/>
      <c r="D4" s="120"/>
      <c r="E4" s="120"/>
      <c r="F4" s="120"/>
      <c r="G4" s="120"/>
    </row>
    <row r="5" spans="1:12" ht="14.4" x14ac:dyDescent="0.25">
      <c r="A5" s="82" t="s">
        <v>107</v>
      </c>
      <c r="B5" s="140" t="s">
        <v>296</v>
      </c>
      <c r="C5" s="120"/>
      <c r="D5" s="120"/>
      <c r="E5" s="120"/>
      <c r="F5" s="141">
        <v>1</v>
      </c>
      <c r="G5" s="120"/>
    </row>
    <row r="6" spans="1:12" ht="11.25" customHeight="1" x14ac:dyDescent="0.25">
      <c r="A6" s="82" t="s">
        <v>108</v>
      </c>
      <c r="B6" s="140" t="s">
        <v>297</v>
      </c>
      <c r="C6" s="120"/>
      <c r="D6" s="120"/>
      <c r="E6" s="120"/>
      <c r="F6" s="141" t="s">
        <v>297</v>
      </c>
      <c r="G6" s="120"/>
    </row>
    <row r="7" spans="1:12" ht="11.25" customHeight="1" x14ac:dyDescent="0.25">
      <c r="A7" s="82" t="s">
        <v>109</v>
      </c>
      <c r="B7" s="140" t="s">
        <v>297</v>
      </c>
      <c r="C7" s="120"/>
      <c r="D7" s="120"/>
      <c r="E7" s="120"/>
      <c r="F7" s="141" t="s">
        <v>297</v>
      </c>
      <c r="G7" s="120"/>
    </row>
    <row r="8" spans="1:12" ht="11.25" customHeight="1" x14ac:dyDescent="0.25">
      <c r="A8" s="82" t="s">
        <v>110</v>
      </c>
      <c r="B8" s="140" t="s">
        <v>297</v>
      </c>
      <c r="C8" s="120"/>
      <c r="D8" s="120"/>
      <c r="E8" s="120"/>
      <c r="F8" s="141" t="s">
        <v>297</v>
      </c>
      <c r="G8" s="120"/>
    </row>
    <row r="9" spans="1:12" ht="11.25" customHeight="1" x14ac:dyDescent="0.25">
      <c r="A9" s="82" t="s">
        <v>111</v>
      </c>
      <c r="B9" s="140" t="s">
        <v>297</v>
      </c>
      <c r="C9" s="120"/>
      <c r="D9" s="120"/>
      <c r="E9" s="120"/>
      <c r="F9" s="141" t="s">
        <v>297</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4.2699999999999996</v>
      </c>
      <c r="E13" s="64">
        <v>2.6356164383561644</v>
      </c>
      <c r="F13" s="65" t="s">
        <v>205</v>
      </c>
      <c r="G13" s="64">
        <v>10</v>
      </c>
    </row>
    <row r="14" spans="1:12" ht="14.4" customHeight="1" x14ac:dyDescent="0.25">
      <c r="A14" t="s">
        <v>116</v>
      </c>
      <c r="B14" t="s">
        <v>117</v>
      </c>
      <c r="C14" t="s">
        <v>118</v>
      </c>
      <c r="D14" s="64">
        <v>4.22</v>
      </c>
      <c r="E14" s="83">
        <v>2.6164383561643838</v>
      </c>
      <c r="F14" t="s">
        <v>205</v>
      </c>
      <c r="G14" s="64">
        <v>10</v>
      </c>
    </row>
    <row r="15" spans="1:12" ht="14.4" customHeight="1" x14ac:dyDescent="0.25">
      <c r="A15" t="s">
        <v>119</v>
      </c>
      <c r="B15" t="s">
        <v>120</v>
      </c>
      <c r="C15" t="s">
        <v>121</v>
      </c>
      <c r="D15" s="64">
        <v>3.87</v>
      </c>
      <c r="E15" s="83">
        <v>0.74794520547945209</v>
      </c>
      <c r="F15" t="s">
        <v>205</v>
      </c>
      <c r="G15" s="64">
        <v>10</v>
      </c>
    </row>
    <row r="16" spans="1:12" ht="14.4" customHeight="1" x14ac:dyDescent="0.25">
      <c r="A16" t="s">
        <v>122</v>
      </c>
      <c r="B16" t="s">
        <v>123</v>
      </c>
      <c r="C16" t="s">
        <v>124</v>
      </c>
      <c r="D16" s="64">
        <v>3</v>
      </c>
      <c r="E16" s="83">
        <v>0.41917808219178082</v>
      </c>
      <c r="F16" t="s">
        <v>205</v>
      </c>
      <c r="G16" s="64">
        <v>10</v>
      </c>
    </row>
    <row r="17" spans="1:7" ht="14.4" customHeight="1" x14ac:dyDescent="0.25">
      <c r="A17" t="s">
        <v>125</v>
      </c>
      <c r="B17" t="s">
        <v>126</v>
      </c>
      <c r="C17" t="s">
        <v>127</v>
      </c>
      <c r="D17" s="64">
        <v>3.05</v>
      </c>
      <c r="E17" s="83">
        <v>0.23835616438356164</v>
      </c>
      <c r="F17" t="s">
        <v>205</v>
      </c>
      <c r="G17" s="64">
        <v>10</v>
      </c>
    </row>
    <row r="18" spans="1:7" ht="14.4" customHeight="1" x14ac:dyDescent="0.25">
      <c r="A18" t="s">
        <v>128</v>
      </c>
      <c r="B18" t="s">
        <v>129</v>
      </c>
      <c r="C18" t="s">
        <v>130</v>
      </c>
      <c r="D18" s="64">
        <v>3.01</v>
      </c>
      <c r="E18" s="83">
        <v>0</v>
      </c>
      <c r="F18">
        <v>0</v>
      </c>
      <c r="G18" s="64">
        <v>10</v>
      </c>
    </row>
    <row r="19" spans="1:7" ht="14.4" customHeight="1" x14ac:dyDescent="0.25">
      <c r="A19" t="s">
        <v>131</v>
      </c>
      <c r="B19" t="s">
        <v>129</v>
      </c>
      <c r="C19" t="s">
        <v>132</v>
      </c>
      <c r="D19" s="64">
        <v>3.01</v>
      </c>
      <c r="E19" s="83">
        <v>0</v>
      </c>
      <c r="F19">
        <v>0</v>
      </c>
      <c r="G19" s="64">
        <v>10</v>
      </c>
    </row>
    <row r="20" spans="1:7" ht="14.4" customHeight="1" x14ac:dyDescent="0.25">
      <c r="A20" t="s">
        <v>133</v>
      </c>
      <c r="B20" t="s">
        <v>134</v>
      </c>
      <c r="C20" t="s">
        <v>135</v>
      </c>
      <c r="D20" s="64">
        <v>3.06</v>
      </c>
      <c r="E20" s="83">
        <v>0</v>
      </c>
      <c r="F20" t="s">
        <v>205</v>
      </c>
      <c r="G20" s="64">
        <v>10</v>
      </c>
    </row>
    <row r="21" spans="1:7" ht="14.4" customHeight="1" x14ac:dyDescent="0.25">
      <c r="A21" t="s">
        <v>136</v>
      </c>
      <c r="B21" t="s">
        <v>137</v>
      </c>
      <c r="C21" t="s">
        <v>138</v>
      </c>
      <c r="D21" s="64">
        <v>2.64</v>
      </c>
      <c r="E21" s="83">
        <v>0</v>
      </c>
      <c r="F21">
        <v>0</v>
      </c>
      <c r="G21" s="64">
        <v>10</v>
      </c>
    </row>
    <row r="22" spans="1:7" ht="14.4" customHeight="1" x14ac:dyDescent="0.25">
      <c r="A22" t="s">
        <v>139</v>
      </c>
      <c r="B22" t="s">
        <v>140</v>
      </c>
      <c r="C22" t="s">
        <v>141</v>
      </c>
      <c r="D22" s="64">
        <v>2.57</v>
      </c>
      <c r="E22" s="83">
        <v>0</v>
      </c>
      <c r="F22">
        <v>0</v>
      </c>
      <c r="G22" s="64">
        <v>10</v>
      </c>
    </row>
    <row r="23" spans="1:7" ht="14.4" customHeight="1" x14ac:dyDescent="0.25">
      <c r="A23" t="s">
        <v>142</v>
      </c>
      <c r="B23" t="s">
        <v>143</v>
      </c>
      <c r="C23" t="s">
        <v>144</v>
      </c>
      <c r="D23" s="64">
        <v>3.48</v>
      </c>
      <c r="E23" s="83">
        <v>0</v>
      </c>
      <c r="F23">
        <v>0</v>
      </c>
      <c r="G23" s="64">
        <v>10</v>
      </c>
    </row>
    <row r="24" spans="1:7" ht="14.4" customHeight="1" x14ac:dyDescent="0.25">
      <c r="A24" t="s">
        <v>145</v>
      </c>
      <c r="B24" t="s">
        <v>146</v>
      </c>
      <c r="C24" t="s">
        <v>147</v>
      </c>
      <c r="D24" s="64">
        <v>4.1500000000000004</v>
      </c>
      <c r="E24" s="83">
        <v>0</v>
      </c>
      <c r="F24">
        <v>0</v>
      </c>
      <c r="G24" s="64">
        <v>10</v>
      </c>
    </row>
    <row r="25" spans="1:7" ht="14.4" customHeight="1" x14ac:dyDescent="0.25">
      <c r="A25" t="s">
        <v>148</v>
      </c>
      <c r="B25" t="s">
        <v>149</v>
      </c>
      <c r="C25" t="s">
        <v>150</v>
      </c>
      <c r="D25" s="64">
        <v>4.8</v>
      </c>
      <c r="E25" s="83">
        <v>0</v>
      </c>
      <c r="F25">
        <v>0</v>
      </c>
      <c r="G25" s="64">
        <v>10</v>
      </c>
    </row>
    <row r="26" spans="1:7" ht="14.4" customHeight="1" x14ac:dyDescent="0.25">
      <c r="A26" t="s">
        <v>151</v>
      </c>
      <c r="B26" t="s">
        <v>152</v>
      </c>
      <c r="C26" t="s">
        <v>153</v>
      </c>
      <c r="D26" s="64">
        <v>4.1500000000000004</v>
      </c>
      <c r="E26" s="83">
        <v>0</v>
      </c>
      <c r="F26">
        <v>0</v>
      </c>
      <c r="G26" s="64">
        <v>10</v>
      </c>
    </row>
    <row r="27" spans="1:7" ht="14.4" customHeight="1" x14ac:dyDescent="0.25">
      <c r="A27" t="s">
        <v>154</v>
      </c>
      <c r="B27" t="s">
        <v>155</v>
      </c>
      <c r="C27" t="s">
        <v>156</v>
      </c>
      <c r="D27" s="64">
        <v>4.9000000000000004</v>
      </c>
      <c r="E27" s="83">
        <v>0</v>
      </c>
      <c r="F27">
        <v>0</v>
      </c>
      <c r="G27" s="64">
        <v>5</v>
      </c>
    </row>
    <row r="28" spans="1:7" ht="14.4" customHeight="1" x14ac:dyDescent="0.25">
      <c r="A28" t="s">
        <v>157</v>
      </c>
      <c r="B28" t="s">
        <v>158</v>
      </c>
      <c r="C28" t="s">
        <v>159</v>
      </c>
      <c r="D28" s="64">
        <v>5.6</v>
      </c>
      <c r="E28" s="83">
        <v>0</v>
      </c>
      <c r="F28">
        <v>0</v>
      </c>
      <c r="G28" s="64">
        <v>0.5</v>
      </c>
    </row>
    <row r="29" spans="1:7" ht="14.4" customHeight="1" x14ac:dyDescent="0.25">
      <c r="A29" t="s">
        <v>160</v>
      </c>
      <c r="B29" t="s">
        <v>161</v>
      </c>
      <c r="C29" t="s">
        <v>162</v>
      </c>
      <c r="D29" s="64">
        <v>5.05</v>
      </c>
      <c r="E29" s="83">
        <v>0</v>
      </c>
      <c r="F29" t="s">
        <v>298</v>
      </c>
      <c r="G29" s="64">
        <v>8</v>
      </c>
    </row>
    <row r="30" spans="1:7" ht="14.4" customHeight="1" x14ac:dyDescent="0.25">
      <c r="A30" t="s">
        <v>163</v>
      </c>
      <c r="B30" t="s">
        <v>164</v>
      </c>
      <c r="C30" t="s">
        <v>165</v>
      </c>
      <c r="D30" s="64">
        <v>5.39</v>
      </c>
      <c r="E30" s="83">
        <v>0</v>
      </c>
      <c r="F30" t="s">
        <v>298</v>
      </c>
      <c r="G30" s="64">
        <v>12.5</v>
      </c>
    </row>
    <row r="31" spans="1:7" ht="14.4" customHeight="1" x14ac:dyDescent="0.25">
      <c r="A31" t="s">
        <v>166</v>
      </c>
      <c r="B31" t="s">
        <v>167</v>
      </c>
      <c r="C31" t="s">
        <v>168</v>
      </c>
      <c r="D31" s="64">
        <v>5.7</v>
      </c>
      <c r="E31" s="83">
        <v>0</v>
      </c>
      <c r="F31">
        <v>0</v>
      </c>
      <c r="G31" s="64">
        <v>1.5</v>
      </c>
    </row>
    <row r="32" spans="1:7" ht="14.4" customHeight="1" x14ac:dyDescent="0.25">
      <c r="A32" t="s">
        <v>169</v>
      </c>
      <c r="B32" t="s">
        <v>170</v>
      </c>
      <c r="C32" t="s">
        <v>171</v>
      </c>
      <c r="D32" s="64">
        <v>5.3</v>
      </c>
      <c r="E32" s="83">
        <v>0</v>
      </c>
      <c r="F32" t="s">
        <v>205</v>
      </c>
      <c r="G32" s="64">
        <v>20</v>
      </c>
    </row>
    <row r="33" spans="1:7" ht="14.4" customHeight="1" x14ac:dyDescent="0.25">
      <c r="A33" t="s">
        <v>172</v>
      </c>
      <c r="B33" t="s">
        <v>173</v>
      </c>
      <c r="C33" t="s">
        <v>174</v>
      </c>
      <c r="D33" s="64">
        <v>5</v>
      </c>
      <c r="E33" s="83">
        <v>0</v>
      </c>
      <c r="F33" t="s">
        <v>298</v>
      </c>
      <c r="G33" s="64">
        <v>20.5</v>
      </c>
    </row>
    <row r="34" spans="1:7" ht="14.4" customHeight="1" x14ac:dyDescent="0.25">
      <c r="A34" t="s">
        <v>175</v>
      </c>
      <c r="B34" t="s">
        <v>176</v>
      </c>
      <c r="C34" t="s">
        <v>177</v>
      </c>
      <c r="D34" s="64">
        <v>4.63</v>
      </c>
      <c r="E34" s="83">
        <v>0</v>
      </c>
      <c r="F34" t="s">
        <v>205</v>
      </c>
      <c r="G34" s="64">
        <v>21.5</v>
      </c>
    </row>
    <row r="35" spans="1:7" ht="14.4" customHeight="1" x14ac:dyDescent="0.25">
      <c r="A35" t="s">
        <v>178</v>
      </c>
      <c r="B35" t="s">
        <v>179</v>
      </c>
      <c r="C35" t="s">
        <v>180</v>
      </c>
      <c r="D35" s="64">
        <v>4.87</v>
      </c>
      <c r="E35" s="83">
        <v>0</v>
      </c>
      <c r="F35" t="s">
        <v>298</v>
      </c>
      <c r="G35" s="64">
        <v>8</v>
      </c>
    </row>
    <row r="36" spans="1:7" ht="14.4" customHeight="1" x14ac:dyDescent="0.25">
      <c r="A36" t="s">
        <v>181</v>
      </c>
      <c r="B36" t="s">
        <v>182</v>
      </c>
      <c r="C36" t="s">
        <v>183</v>
      </c>
      <c r="D36" s="64">
        <v>4.6399999999999997</v>
      </c>
      <c r="E36" s="83">
        <v>0</v>
      </c>
      <c r="F36" t="s">
        <v>298</v>
      </c>
      <c r="G36" s="64">
        <v>12.5</v>
      </c>
    </row>
    <row r="37" spans="1:7" ht="14.4" customHeight="1" x14ac:dyDescent="0.25">
      <c r="A37" t="s">
        <v>184</v>
      </c>
      <c r="B37" t="s">
        <v>185</v>
      </c>
      <c r="C37" t="s">
        <v>186</v>
      </c>
      <c r="D37" s="64">
        <v>3.99</v>
      </c>
      <c r="E37" s="83">
        <v>0</v>
      </c>
      <c r="F37" t="s">
        <v>298</v>
      </c>
      <c r="G37" s="64">
        <v>9</v>
      </c>
    </row>
    <row r="38" spans="1:7" ht="14.4" customHeight="1" x14ac:dyDescent="0.25">
      <c r="A38" t="s">
        <v>187</v>
      </c>
      <c r="B38" t="s">
        <v>188</v>
      </c>
      <c r="C38" t="s">
        <v>189</v>
      </c>
      <c r="D38" s="64">
        <v>4.29</v>
      </c>
      <c r="E38" s="83">
        <v>0</v>
      </c>
      <c r="F38" t="s">
        <v>205</v>
      </c>
      <c r="G38" s="64">
        <v>1.5</v>
      </c>
    </row>
    <row r="39" spans="1:7" ht="14.4" customHeight="1" x14ac:dyDescent="0.25">
      <c r="A39" t="s">
        <v>190</v>
      </c>
      <c r="B39" t="s">
        <v>191</v>
      </c>
      <c r="C39" t="s">
        <v>192</v>
      </c>
      <c r="D39" s="64">
        <v>4.7699999999999996</v>
      </c>
      <c r="E39" s="83">
        <v>0</v>
      </c>
      <c r="F39" t="s">
        <v>298</v>
      </c>
      <c r="G39" s="64">
        <v>11</v>
      </c>
    </row>
    <row r="40" spans="1:7" ht="14.4" customHeight="1" x14ac:dyDescent="0.25">
      <c r="A40" t="s">
        <v>193</v>
      </c>
      <c r="B40" t="s">
        <v>194</v>
      </c>
      <c r="C40" t="s">
        <v>195</v>
      </c>
      <c r="D40" s="64">
        <v>4.58</v>
      </c>
      <c r="E40" s="83">
        <v>0</v>
      </c>
      <c r="F40" t="s">
        <v>298</v>
      </c>
      <c r="G40" s="64">
        <v>9</v>
      </c>
    </row>
    <row r="41" spans="1:7" ht="14.4" customHeight="1" x14ac:dyDescent="0.25">
      <c r="A41" t="s">
        <v>196</v>
      </c>
      <c r="B41" t="s">
        <v>197</v>
      </c>
      <c r="C41" t="s">
        <v>198</v>
      </c>
      <c r="D41" s="64">
        <v>4.2</v>
      </c>
      <c r="E41" s="83">
        <v>0</v>
      </c>
      <c r="F41" t="s">
        <v>217</v>
      </c>
      <c r="G41" s="64">
        <v>15</v>
      </c>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D46" s="64"/>
      <c r="E46" s="83"/>
      <c r="G46" s="64"/>
    </row>
    <row r="47" spans="1:7" ht="14.4" customHeight="1" x14ac:dyDescent="0.25">
      <c r="A47" s="143" t="s">
        <v>199</v>
      </c>
      <c r="B47" s="143"/>
      <c r="C47" s="143"/>
      <c r="D47" s="143"/>
      <c r="E47" s="83"/>
      <c r="G47" s="64"/>
    </row>
    <row r="48" spans="1:7" ht="14.4" customHeight="1" x14ac:dyDescent="0.25">
      <c r="A48" s="84" t="s">
        <v>200</v>
      </c>
      <c r="B48" s="84" t="s">
        <v>201</v>
      </c>
      <c r="C48" s="84" t="s">
        <v>202</v>
      </c>
      <c r="D48" s="85" t="s">
        <v>203</v>
      </c>
      <c r="E48" s="83"/>
      <c r="G48" s="64"/>
    </row>
    <row r="49" spans="1:7" ht="14.4" customHeight="1" x14ac:dyDescent="0.25">
      <c r="A49" t="s">
        <v>204</v>
      </c>
      <c r="B49" t="s">
        <v>205</v>
      </c>
      <c r="C49" t="s">
        <v>206</v>
      </c>
      <c r="D49" s="64" t="s">
        <v>207</v>
      </c>
      <c r="E49" s="83"/>
      <c r="G49" s="64"/>
    </row>
    <row r="50" spans="1:7" ht="14.4" customHeight="1" x14ac:dyDescent="0.25">
      <c r="A50" t="s">
        <v>208</v>
      </c>
      <c r="B50" t="s">
        <v>205</v>
      </c>
      <c r="C50" t="s">
        <v>206</v>
      </c>
      <c r="D50" s="64" t="s">
        <v>207</v>
      </c>
      <c r="E50" s="83"/>
      <c r="G50" s="64"/>
    </row>
    <row r="51" spans="1:7" ht="14.4" customHeight="1" x14ac:dyDescent="0.25">
      <c r="A51" t="s">
        <v>209</v>
      </c>
      <c r="B51" t="s">
        <v>205</v>
      </c>
      <c r="C51" t="s">
        <v>206</v>
      </c>
      <c r="D51" s="64" t="s">
        <v>207</v>
      </c>
      <c r="E51" s="83"/>
      <c r="G51" s="64"/>
    </row>
    <row r="52" spans="1:7" ht="14.4" customHeight="1" x14ac:dyDescent="0.25">
      <c r="A52" t="s">
        <v>210</v>
      </c>
      <c r="B52" t="s">
        <v>205</v>
      </c>
      <c r="C52" t="s">
        <v>206</v>
      </c>
      <c r="D52" s="64" t="s">
        <v>207</v>
      </c>
      <c r="E52" s="83"/>
      <c r="G52" s="64"/>
    </row>
    <row r="53" spans="1:7" ht="14.4" customHeight="1" x14ac:dyDescent="0.25">
      <c r="A53" t="s">
        <v>211</v>
      </c>
      <c r="B53" t="s">
        <v>205</v>
      </c>
      <c r="C53" t="s">
        <v>206</v>
      </c>
      <c r="D53" s="64" t="s">
        <v>207</v>
      </c>
      <c r="E53" s="83"/>
      <c r="G53" s="64"/>
    </row>
    <row r="54" spans="1:7" ht="14.4" customHeight="1" x14ac:dyDescent="0.25">
      <c r="A54" t="s">
        <v>212</v>
      </c>
      <c r="B54" t="s">
        <v>205</v>
      </c>
      <c r="C54" t="s">
        <v>206</v>
      </c>
      <c r="D54" s="64" t="s">
        <v>207</v>
      </c>
      <c r="E54" s="83"/>
      <c r="G54" s="64"/>
    </row>
    <row r="55" spans="1:7" ht="14.4" customHeight="1" x14ac:dyDescent="0.25">
      <c r="A55" t="s">
        <v>213</v>
      </c>
      <c r="B55" t="s">
        <v>205</v>
      </c>
      <c r="C55" t="s">
        <v>206</v>
      </c>
      <c r="D55" s="64" t="s">
        <v>207</v>
      </c>
      <c r="E55" s="83"/>
      <c r="G55" s="64"/>
    </row>
    <row r="56" spans="1:7" ht="14.4" customHeight="1" x14ac:dyDescent="0.25">
      <c r="A56" t="s">
        <v>214</v>
      </c>
      <c r="B56" t="s">
        <v>205</v>
      </c>
      <c r="C56" t="s">
        <v>206</v>
      </c>
      <c r="D56" s="64" t="s">
        <v>207</v>
      </c>
      <c r="E56" s="83"/>
      <c r="G56" s="64"/>
    </row>
    <row r="57" spans="1:7" ht="14.4" customHeight="1" x14ac:dyDescent="0.25">
      <c r="A57" t="s">
        <v>215</v>
      </c>
      <c r="B57" t="s">
        <v>205</v>
      </c>
      <c r="C57" t="s">
        <v>206</v>
      </c>
      <c r="D57" s="64" t="s">
        <v>207</v>
      </c>
      <c r="E57" s="83"/>
      <c r="G57" s="64"/>
    </row>
    <row r="58" spans="1:7" ht="14.4" customHeight="1" x14ac:dyDescent="0.25">
      <c r="A58" t="s">
        <v>216</v>
      </c>
      <c r="B58" t="s">
        <v>217</v>
      </c>
      <c r="C58" t="s">
        <v>206</v>
      </c>
      <c r="D58" s="64" t="s">
        <v>207</v>
      </c>
      <c r="E58" s="83"/>
      <c r="G58" s="64"/>
    </row>
    <row r="59" spans="1:7" ht="14.4" customHeight="1" x14ac:dyDescent="0.25">
      <c r="A59" t="s">
        <v>218</v>
      </c>
      <c r="B59" t="s">
        <v>217</v>
      </c>
      <c r="C59" t="s">
        <v>206</v>
      </c>
      <c r="D59" s="64" t="s">
        <v>207</v>
      </c>
      <c r="E59" s="83"/>
      <c r="G59" s="64"/>
    </row>
    <row r="60" spans="1:7" ht="14.4" customHeight="1" x14ac:dyDescent="0.25">
      <c r="A60" t="s">
        <v>219</v>
      </c>
      <c r="B60" t="s">
        <v>217</v>
      </c>
      <c r="C60" t="s">
        <v>206</v>
      </c>
      <c r="D60" s="64" t="s">
        <v>207</v>
      </c>
      <c r="E60" s="83"/>
      <c r="G60" s="64"/>
    </row>
    <row r="61" spans="1:7" ht="14.4" customHeight="1" x14ac:dyDescent="0.25">
      <c r="A61" t="s">
        <v>220</v>
      </c>
      <c r="B61" t="s">
        <v>217</v>
      </c>
      <c r="C61" t="s">
        <v>206</v>
      </c>
      <c r="D61" s="64" t="s">
        <v>207</v>
      </c>
      <c r="E61" s="83"/>
      <c r="G61" s="64"/>
    </row>
    <row r="62" spans="1:7" ht="14.4" customHeight="1" x14ac:dyDescent="0.25">
      <c r="A62" t="s">
        <v>221</v>
      </c>
      <c r="B62" t="s">
        <v>217</v>
      </c>
      <c r="C62" t="s">
        <v>206</v>
      </c>
      <c r="D62" s="64" t="s">
        <v>207</v>
      </c>
      <c r="E62" s="83"/>
      <c r="G62" s="64"/>
    </row>
    <row r="63" spans="1:7" ht="14.4" customHeight="1" x14ac:dyDescent="0.25">
      <c r="A63" t="s">
        <v>222</v>
      </c>
      <c r="B63" t="s">
        <v>217</v>
      </c>
      <c r="C63" t="s">
        <v>206</v>
      </c>
      <c r="D63" s="64" t="s">
        <v>207</v>
      </c>
      <c r="E63" s="83"/>
      <c r="G63" s="64"/>
    </row>
    <row r="64" spans="1:7" ht="14.4" customHeight="1" x14ac:dyDescent="0.25">
      <c r="A64" t="s">
        <v>223</v>
      </c>
      <c r="B64" t="s">
        <v>217</v>
      </c>
      <c r="C64" t="s">
        <v>206</v>
      </c>
      <c r="D64" s="64" t="s">
        <v>207</v>
      </c>
      <c r="E64" s="83"/>
      <c r="G64" s="64"/>
    </row>
    <row r="65" spans="1:7" ht="14.4" customHeight="1" x14ac:dyDescent="0.25">
      <c r="A65" t="s">
        <v>224</v>
      </c>
      <c r="B65" t="s">
        <v>217</v>
      </c>
      <c r="C65" t="s">
        <v>206</v>
      </c>
      <c r="D65" s="64" t="s">
        <v>207</v>
      </c>
      <c r="E65" s="83"/>
      <c r="G65" s="64"/>
    </row>
    <row r="66" spans="1:7" ht="14.4" customHeight="1" x14ac:dyDescent="0.25">
      <c r="A66" t="s">
        <v>225</v>
      </c>
      <c r="B66" t="s">
        <v>217</v>
      </c>
      <c r="C66" t="s">
        <v>206</v>
      </c>
      <c r="D66" s="64" t="s">
        <v>207</v>
      </c>
      <c r="E66" s="83"/>
      <c r="G66" s="64"/>
    </row>
    <row r="67" spans="1:7" ht="14.4" customHeight="1" x14ac:dyDescent="0.25">
      <c r="A67" t="s">
        <v>226</v>
      </c>
      <c r="B67" t="s">
        <v>217</v>
      </c>
      <c r="C67" t="s">
        <v>206</v>
      </c>
      <c r="D67" s="64" t="s">
        <v>207</v>
      </c>
      <c r="E67" s="83"/>
      <c r="G67" s="64"/>
    </row>
    <row r="68" spans="1:7" ht="14.4" customHeight="1" x14ac:dyDescent="0.25">
      <c r="A68" t="s">
        <v>227</v>
      </c>
      <c r="B68" t="s">
        <v>217</v>
      </c>
      <c r="C68" t="s">
        <v>206</v>
      </c>
      <c r="D68" s="64" t="s">
        <v>207</v>
      </c>
      <c r="E68" s="83"/>
      <c r="G68" s="64"/>
    </row>
    <row r="69" spans="1:7" ht="14.4" customHeight="1" x14ac:dyDescent="0.25">
      <c r="A69" t="s">
        <v>228</v>
      </c>
      <c r="B69" t="s">
        <v>217</v>
      </c>
      <c r="C69" t="s">
        <v>206</v>
      </c>
      <c r="D69" s="64" t="s">
        <v>207</v>
      </c>
      <c r="E69" s="83"/>
      <c r="G69" s="64"/>
    </row>
    <row r="70" spans="1:7" ht="14.4" customHeight="1" x14ac:dyDescent="0.25">
      <c r="A70" t="s">
        <v>229</v>
      </c>
      <c r="B70" t="s">
        <v>217</v>
      </c>
      <c r="C70" t="s">
        <v>206</v>
      </c>
      <c r="D70" s="64" t="s">
        <v>207</v>
      </c>
      <c r="E70" s="83"/>
      <c r="G70" s="64"/>
    </row>
    <row r="71" spans="1:7" ht="14.4" customHeight="1" x14ac:dyDescent="0.25">
      <c r="A71" t="s">
        <v>230</v>
      </c>
      <c r="B71" t="s">
        <v>217</v>
      </c>
      <c r="C71" t="s">
        <v>206</v>
      </c>
      <c r="D71" s="64" t="s">
        <v>207</v>
      </c>
      <c r="E71" s="83"/>
      <c r="G71" s="64"/>
    </row>
    <row r="72" spans="1:7" ht="14.4" customHeight="1" x14ac:dyDescent="0.25">
      <c r="A72" t="s">
        <v>231</v>
      </c>
      <c r="B72" t="s">
        <v>217</v>
      </c>
      <c r="C72" t="s">
        <v>206</v>
      </c>
      <c r="D72" s="64" t="s">
        <v>207</v>
      </c>
      <c r="E72" s="83"/>
      <c r="G72" s="64"/>
    </row>
    <row r="73" spans="1:7" ht="14.4" customHeight="1" x14ac:dyDescent="0.25">
      <c r="A73" t="s">
        <v>232</v>
      </c>
      <c r="B73" t="s">
        <v>217</v>
      </c>
      <c r="C73" t="s">
        <v>206</v>
      </c>
      <c r="D73" s="64" t="s">
        <v>207</v>
      </c>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7:D4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0.519783</v>
      </c>
      <c r="C4" s="57" t="s">
        <v>29</v>
      </c>
      <c r="D4" s="87">
        <v>1.4337</v>
      </c>
      <c r="E4" s="57" t="s">
        <v>33</v>
      </c>
      <c r="F4" s="86">
        <v>1.2269000000000001</v>
      </c>
      <c r="G4" s="57" t="s">
        <v>34</v>
      </c>
      <c r="H4" s="86">
        <v>0.174569</v>
      </c>
      <c r="I4" s="57"/>
      <c r="J4" s="88"/>
    </row>
    <row r="5" spans="1:10" ht="15.75" customHeight="1" x14ac:dyDescent="0.25">
      <c r="A5" s="57" t="s">
        <v>54</v>
      </c>
      <c r="B5" s="86">
        <v>0.48419800000000002</v>
      </c>
      <c r="C5" s="57" t="s">
        <v>55</v>
      </c>
      <c r="D5" s="87">
        <v>1.2097</v>
      </c>
      <c r="E5" s="57" t="s">
        <v>56</v>
      </c>
      <c r="F5" s="87">
        <v>3.4068999999999998</v>
      </c>
      <c r="G5" s="57" t="s">
        <v>57</v>
      </c>
      <c r="H5" s="86">
        <v>-0.13631299999999999</v>
      </c>
      <c r="I5" s="57"/>
      <c r="J5" s="88"/>
    </row>
    <row r="6" spans="1:10" ht="15" customHeight="1" x14ac:dyDescent="0.25">
      <c r="A6" s="57" t="s">
        <v>58</v>
      </c>
      <c r="B6" s="86">
        <v>0.64973600000000009</v>
      </c>
      <c r="C6" s="57" t="s">
        <v>31</v>
      </c>
      <c r="D6" s="89">
        <v>-6.9000000000000006E-2</v>
      </c>
      <c r="E6" s="57" t="s">
        <v>59</v>
      </c>
      <c r="F6" s="87">
        <v>4.9271000000000003</v>
      </c>
      <c r="G6" s="57" t="s">
        <v>37</v>
      </c>
      <c r="H6" s="86">
        <v>-6.8616999999999997E-2</v>
      </c>
      <c r="I6" s="57"/>
      <c r="J6" s="88"/>
    </row>
    <row r="7" spans="1:10" ht="14.25" customHeight="1" x14ac:dyDescent="0.25">
      <c r="A7" s="57" t="s">
        <v>30</v>
      </c>
      <c r="B7" s="89">
        <v>0.58247934313219596</v>
      </c>
      <c r="C7" s="57" t="s">
        <v>60</v>
      </c>
      <c r="D7" s="89">
        <v>-5.6242999999999999</v>
      </c>
      <c r="E7" s="57" t="s">
        <v>61</v>
      </c>
      <c r="F7" s="87">
        <v>0.93840000000000001</v>
      </c>
      <c r="G7" s="57" t="s">
        <v>62</v>
      </c>
      <c r="H7" s="86">
        <v>-5.4429999999999999E-2</v>
      </c>
      <c r="I7" s="57"/>
      <c r="J7" s="88"/>
    </row>
    <row r="8" spans="1:10" x14ac:dyDescent="0.25">
      <c r="A8" s="57"/>
      <c r="B8" s="90"/>
      <c r="C8" s="57"/>
      <c r="D8" s="91"/>
      <c r="E8" s="57" t="s">
        <v>63</v>
      </c>
      <c r="F8" s="87">
        <v>0.46899999999999997</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71.711852661099996</v>
      </c>
      <c r="C12" s="57" t="s">
        <v>70</v>
      </c>
      <c r="D12" s="89">
        <v>191.67019028619998</v>
      </c>
      <c r="E12" s="147" t="s">
        <v>71</v>
      </c>
      <c r="F12" s="120"/>
      <c r="G12" s="120"/>
      <c r="H12" s="148">
        <v>234.64165100939999</v>
      </c>
      <c r="I12" s="120"/>
      <c r="J12" s="120"/>
    </row>
    <row r="13" spans="1:10" ht="14.25" customHeight="1" x14ac:dyDescent="0.25">
      <c r="A13" s="57" t="s">
        <v>72</v>
      </c>
      <c r="B13" s="92">
        <v>48.491656666800004</v>
      </c>
      <c r="C13" s="57" t="s">
        <v>73</v>
      </c>
      <c r="D13" s="89">
        <v>228.08630720880001</v>
      </c>
      <c r="E13" s="147" t="s">
        <v>74</v>
      </c>
      <c r="F13" s="120"/>
      <c r="G13" s="120"/>
      <c r="H13" s="148">
        <v>268.2225425561</v>
      </c>
      <c r="I13" s="120"/>
      <c r="J13" s="120"/>
    </row>
    <row r="14" spans="1:10" ht="14.25" customHeight="1" x14ac:dyDescent="0.25">
      <c r="A14" s="57" t="s">
        <v>75</v>
      </c>
      <c r="B14" s="92">
        <v>12.321111031800001</v>
      </c>
      <c r="C14" s="57" t="s">
        <v>76</v>
      </c>
      <c r="D14" s="89">
        <v>157.86648937140001</v>
      </c>
      <c r="E14" s="147" t="s">
        <v>77</v>
      </c>
      <c r="F14" s="120"/>
      <c r="G14" s="120"/>
      <c r="H14" s="148">
        <v>502.78137125889998</v>
      </c>
      <c r="I14" s="120"/>
      <c r="J14" s="120"/>
    </row>
    <row r="15" spans="1:10" ht="14.25" customHeight="1" x14ac:dyDescent="0.25">
      <c r="A15" s="57" t="s">
        <v>78</v>
      </c>
      <c r="B15" s="92">
        <v>16.569501262100001</v>
      </c>
      <c r="C15" s="57" t="s">
        <v>79</v>
      </c>
      <c r="D15" s="89">
        <v>8.2801371814000007</v>
      </c>
      <c r="E15" s="147" t="s">
        <v>80</v>
      </c>
      <c r="F15" s="120"/>
      <c r="G15" s="120"/>
      <c r="H15" s="148">
        <v>188.6769683478</v>
      </c>
      <c r="I15" s="120"/>
      <c r="J15" s="120"/>
    </row>
    <row r="16" spans="1:10" ht="14.25" customHeight="1" x14ac:dyDescent="0.25">
      <c r="A16" s="57" t="s">
        <v>81</v>
      </c>
      <c r="B16" s="92">
        <v>7.08593925</v>
      </c>
      <c r="C16" s="57" t="s">
        <v>82</v>
      </c>
      <c r="D16" s="89">
        <v>32.166667866099999</v>
      </c>
      <c r="E16" s="147" t="s">
        <v>83</v>
      </c>
      <c r="F16" s="120"/>
      <c r="G16" s="120"/>
      <c r="H16" s="148">
        <v>269.10686250419997</v>
      </c>
      <c r="I16" s="120"/>
      <c r="J16" s="120"/>
    </row>
    <row r="17" spans="1:10" ht="14.25" customHeight="1" x14ac:dyDescent="0.25">
      <c r="A17" s="57" t="s">
        <v>84</v>
      </c>
      <c r="B17" s="92">
        <v>18.330444721599999</v>
      </c>
      <c r="C17" s="57" t="s">
        <v>85</v>
      </c>
      <c r="D17" s="89">
        <v>3.8129088647000002</v>
      </c>
      <c r="E17" s="147" t="s">
        <v>86</v>
      </c>
      <c r="F17" s="120"/>
      <c r="G17" s="120"/>
      <c r="H17" s="148">
        <v>500.50449494040004</v>
      </c>
      <c r="I17" s="120"/>
      <c r="J17" s="120"/>
    </row>
    <row r="18" spans="1:10" ht="14.25" customHeight="1" x14ac:dyDescent="0.25">
      <c r="A18" s="57" t="s">
        <v>87</v>
      </c>
      <c r="B18" s="92">
        <v>387.98214905570001</v>
      </c>
      <c r="C18" s="57" t="s">
        <v>88</v>
      </c>
      <c r="D18" s="89">
        <v>-26.1271915996</v>
      </c>
      <c r="E18" s="147" t="s">
        <v>89</v>
      </c>
      <c r="F18" s="120"/>
      <c r="G18" s="120"/>
      <c r="H18" s="148">
        <v>2.2768763184999998</v>
      </c>
      <c r="I18" s="120"/>
      <c r="J18" s="120"/>
    </row>
    <row r="19" spans="1:10" ht="14.25" customHeight="1" x14ac:dyDescent="0.25">
      <c r="A19" s="57" t="s">
        <v>90</v>
      </c>
      <c r="B19" s="92">
        <v>39.375364515900003</v>
      </c>
      <c r="C19" s="57" t="s">
        <v>91</v>
      </c>
      <c r="D19" s="89">
        <v>-26.199940276100001</v>
      </c>
      <c r="E19" s="147" t="s">
        <v>92</v>
      </c>
      <c r="F19" s="120"/>
      <c r="G19" s="120"/>
      <c r="H19" s="148">
        <v>-8.7444868829000004</v>
      </c>
      <c r="I19" s="120"/>
      <c r="J19" s="120"/>
    </row>
    <row r="20" spans="1:10" ht="27" customHeight="1" x14ac:dyDescent="0.25">
      <c r="A20" s="57" t="s">
        <v>93</v>
      </c>
      <c r="B20" s="92">
        <v>8.1677081325999996</v>
      </c>
      <c r="C20" s="57" t="s">
        <v>35</v>
      </c>
      <c r="D20" s="89">
        <v>-28.1290599513</v>
      </c>
      <c r="E20" s="147" t="s">
        <v>94</v>
      </c>
      <c r="F20" s="120"/>
      <c r="G20" s="120"/>
      <c r="H20" s="148">
        <v>1.3174360000000001</v>
      </c>
      <c r="I20" s="120"/>
      <c r="J20" s="120"/>
    </row>
    <row r="21" spans="1:10" ht="16.5" customHeight="1" x14ac:dyDescent="0.25">
      <c r="A21" s="57" t="s">
        <v>95</v>
      </c>
      <c r="B21" s="92">
        <v>0</v>
      </c>
      <c r="C21" s="57"/>
      <c r="D21" s="93"/>
      <c r="E21" s="147" t="s">
        <v>96</v>
      </c>
      <c r="F21" s="120"/>
      <c r="G21" s="120"/>
      <c r="H21" s="148">
        <v>76.502289941900003</v>
      </c>
      <c r="I21" s="120"/>
      <c r="J21" s="120"/>
    </row>
    <row r="22" spans="1:10" ht="14.25" customHeight="1" x14ac:dyDescent="0.25">
      <c r="A22" s="57" t="s">
        <v>97</v>
      </c>
      <c r="B22" s="92">
        <v>9.8631925547999995</v>
      </c>
      <c r="C22" s="57"/>
      <c r="D22" s="93"/>
      <c r="E22" s="147" t="s">
        <v>98</v>
      </c>
      <c r="F22" s="120"/>
      <c r="G22" s="120"/>
      <c r="H22" s="148">
        <v>10</v>
      </c>
      <c r="I22" s="120"/>
      <c r="J22" s="120"/>
    </row>
    <row r="23" spans="1:10" ht="14.25" customHeight="1" x14ac:dyDescent="0.25">
      <c r="A23" s="57" t="s">
        <v>99</v>
      </c>
      <c r="B23" s="92">
        <v>49.873204395200005</v>
      </c>
      <c r="C23" s="57"/>
      <c r="D23" s="93"/>
      <c r="E23" s="147" t="s">
        <v>100</v>
      </c>
      <c r="F23" s="120"/>
      <c r="G23" s="120"/>
      <c r="H23" s="148">
        <v>88.037164592500005</v>
      </c>
      <c r="I23" s="120"/>
      <c r="J23" s="120"/>
    </row>
    <row r="24" spans="1:10" ht="14.25" customHeight="1" x14ac:dyDescent="0.25">
      <c r="A24" s="57" t="s">
        <v>101</v>
      </c>
      <c r="B24" s="92">
        <v>201.66645496099997</v>
      </c>
      <c r="C24" s="94"/>
      <c r="D24" s="91"/>
      <c r="E24" s="147" t="s">
        <v>102</v>
      </c>
      <c r="F24" s="120"/>
      <c r="G24" s="120"/>
      <c r="H24" s="148">
        <v>86.621853694999999</v>
      </c>
      <c r="I24" s="120"/>
      <c r="J24" s="120"/>
    </row>
    <row r="25" spans="1:10" ht="14.25" customHeight="1" x14ac:dyDescent="0.25">
      <c r="A25" s="57" t="s">
        <v>103</v>
      </c>
      <c r="B25" s="92">
        <v>186.31569409470001</v>
      </c>
      <c r="C25" s="94"/>
      <c r="D25" s="91"/>
      <c r="E25" s="147" t="s">
        <v>104</v>
      </c>
      <c r="F25" s="120"/>
      <c r="G25" s="120"/>
      <c r="H25" s="148">
        <v>93.026015519599994</v>
      </c>
      <c r="I25" s="120"/>
      <c r="J25" s="120"/>
    </row>
    <row r="26" spans="1:10" ht="14.25" customHeight="1" x14ac:dyDescent="0.25">
      <c r="A26" s="95" t="s">
        <v>105</v>
      </c>
      <c r="B26" s="92">
        <v>387.98214905570001</v>
      </c>
      <c r="C26" s="94"/>
      <c r="D26" s="91"/>
      <c r="E26" s="147" t="s">
        <v>106</v>
      </c>
      <c r="F26" s="120"/>
      <c r="G26" s="120"/>
      <c r="H26" s="148">
        <v>-4.9888509270999997</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233</v>
      </c>
      <c r="B1" s="124"/>
      <c r="C1" s="124"/>
      <c r="D1" s="124"/>
      <c r="E1" s="124"/>
      <c r="F1" s="124"/>
      <c r="G1" s="124"/>
      <c r="H1" s="124"/>
      <c r="I1" s="124"/>
    </row>
    <row r="2" spans="1:10" ht="46.5" customHeight="1" x14ac:dyDescent="0.25">
      <c r="A2" s="54" t="s">
        <v>22</v>
      </c>
      <c r="B2" s="43" t="s">
        <v>291</v>
      </c>
      <c r="C2" s="43" t="s">
        <v>234</v>
      </c>
      <c r="D2" s="43" t="s">
        <v>297</v>
      </c>
      <c r="E2" s="43" t="s">
        <v>297</v>
      </c>
      <c r="F2" s="43" t="s">
        <v>297</v>
      </c>
      <c r="G2" s="43" t="s">
        <v>297</v>
      </c>
      <c r="H2" s="43" t="s">
        <v>297</v>
      </c>
      <c r="I2" s="43" t="s">
        <v>297</v>
      </c>
      <c r="J2" s="43" t="s">
        <v>297</v>
      </c>
    </row>
    <row r="3" spans="1:10" x14ac:dyDescent="0.25">
      <c r="A3" s="54" t="s">
        <v>23</v>
      </c>
      <c r="B3" s="97" t="s">
        <v>205</v>
      </c>
      <c r="C3" s="98" t="s">
        <v>235</v>
      </c>
      <c r="D3" s="97" t="s">
        <v>297</v>
      </c>
      <c r="E3" s="97" t="s">
        <v>297</v>
      </c>
      <c r="F3" s="97" t="s">
        <v>297</v>
      </c>
      <c r="G3" s="97" t="s">
        <v>297</v>
      </c>
      <c r="H3" s="97" t="s">
        <v>297</v>
      </c>
      <c r="I3" s="97" t="s">
        <v>297</v>
      </c>
      <c r="J3" s="97" t="s">
        <v>297</v>
      </c>
    </row>
    <row r="4" spans="1:10" s="7" customFormat="1" ht="21.6" x14ac:dyDescent="0.25">
      <c r="A4" s="9" t="s">
        <v>3</v>
      </c>
      <c r="B4" s="99" t="s">
        <v>292</v>
      </c>
      <c r="C4" s="98" t="s">
        <v>235</v>
      </c>
      <c r="D4" s="99" t="s">
        <v>297</v>
      </c>
      <c r="E4" s="99" t="s">
        <v>297</v>
      </c>
      <c r="F4" s="99" t="s">
        <v>297</v>
      </c>
      <c r="G4" s="99" t="s">
        <v>297</v>
      </c>
      <c r="H4" s="99" t="s">
        <v>297</v>
      </c>
      <c r="I4" s="99" t="s">
        <v>297</v>
      </c>
      <c r="J4" s="99" t="s">
        <v>297</v>
      </c>
    </row>
    <row r="5" spans="1:10" s="7" customFormat="1" x14ac:dyDescent="0.25">
      <c r="A5" s="9" t="s">
        <v>25</v>
      </c>
      <c r="B5" s="100" t="s">
        <v>26</v>
      </c>
      <c r="C5" s="98" t="s">
        <v>235</v>
      </c>
      <c r="D5" s="100" t="s">
        <v>297</v>
      </c>
      <c r="E5" s="100" t="s">
        <v>297</v>
      </c>
      <c r="F5" s="100" t="s">
        <v>297</v>
      </c>
      <c r="G5" s="100" t="s">
        <v>297</v>
      </c>
      <c r="H5" s="100" t="s">
        <v>297</v>
      </c>
      <c r="I5" s="100" t="s">
        <v>297</v>
      </c>
      <c r="J5" s="100" t="s">
        <v>297</v>
      </c>
    </row>
    <row r="6" spans="1:10" x14ac:dyDescent="0.25">
      <c r="A6" s="54" t="s">
        <v>27</v>
      </c>
      <c r="B6" s="101">
        <v>387.98214905570001</v>
      </c>
      <c r="C6" s="98" t="s">
        <v>235</v>
      </c>
      <c r="D6" s="101" t="s">
        <v>297</v>
      </c>
      <c r="E6" s="101" t="s">
        <v>297</v>
      </c>
      <c r="F6" s="101" t="s">
        <v>297</v>
      </c>
      <c r="G6" s="101" t="s">
        <v>297</v>
      </c>
      <c r="H6" s="101" t="s">
        <v>297</v>
      </c>
      <c r="I6" s="101" t="s">
        <v>297</v>
      </c>
      <c r="J6" s="101" t="s">
        <v>297</v>
      </c>
    </row>
    <row r="7" spans="1:10" x14ac:dyDescent="0.25">
      <c r="A7" s="54" t="s">
        <v>28</v>
      </c>
      <c r="B7" s="44">
        <v>0.519783</v>
      </c>
      <c r="C7" s="98" t="s">
        <v>235</v>
      </c>
      <c r="D7" s="44" t="s">
        <v>297</v>
      </c>
      <c r="E7" s="44" t="s">
        <v>297</v>
      </c>
      <c r="F7" s="44" t="s">
        <v>297</v>
      </c>
      <c r="G7" s="44" t="s">
        <v>297</v>
      </c>
      <c r="H7" s="44" t="s">
        <v>297</v>
      </c>
      <c r="I7" s="44" t="s">
        <v>297</v>
      </c>
      <c r="J7" s="44" t="s">
        <v>297</v>
      </c>
    </row>
    <row r="8" spans="1:10" x14ac:dyDescent="0.25">
      <c r="A8" s="54" t="s">
        <v>29</v>
      </c>
      <c r="B8" s="101">
        <v>1.4337</v>
      </c>
      <c r="C8" s="98" t="s">
        <v>235</v>
      </c>
      <c r="D8" s="101" t="s">
        <v>297</v>
      </c>
      <c r="E8" s="101" t="s">
        <v>297</v>
      </c>
      <c r="F8" s="101" t="s">
        <v>297</v>
      </c>
      <c r="G8" s="101" t="s">
        <v>297</v>
      </c>
      <c r="H8" s="101" t="s">
        <v>297</v>
      </c>
      <c r="I8" s="101" t="s">
        <v>297</v>
      </c>
      <c r="J8" s="101" t="s">
        <v>297</v>
      </c>
    </row>
    <row r="9" spans="1:10" x14ac:dyDescent="0.25">
      <c r="A9" s="54" t="s">
        <v>30</v>
      </c>
      <c r="B9" s="97">
        <v>0.58247934313219596</v>
      </c>
      <c r="C9" s="98" t="s">
        <v>235</v>
      </c>
      <c r="D9" s="97" t="s">
        <v>297</v>
      </c>
      <c r="E9" s="97" t="s">
        <v>297</v>
      </c>
      <c r="F9" s="97" t="s">
        <v>297</v>
      </c>
      <c r="G9" s="97" t="s">
        <v>297</v>
      </c>
      <c r="H9" s="97" t="s">
        <v>297</v>
      </c>
      <c r="I9" s="97" t="s">
        <v>297</v>
      </c>
      <c r="J9" s="97" t="s">
        <v>297</v>
      </c>
    </row>
    <row r="10" spans="1:10" ht="21.6" customHeight="1" x14ac:dyDescent="0.25">
      <c r="A10" s="54" t="s">
        <v>31</v>
      </c>
      <c r="B10" s="101">
        <v>-6.9000000000000006E-2</v>
      </c>
      <c r="C10" s="98" t="s">
        <v>235</v>
      </c>
      <c r="D10" s="101" t="s">
        <v>297</v>
      </c>
      <c r="E10" s="101" t="s">
        <v>297</v>
      </c>
      <c r="F10" s="101" t="s">
        <v>297</v>
      </c>
      <c r="G10" s="101" t="s">
        <v>297</v>
      </c>
      <c r="H10" s="101" t="s">
        <v>297</v>
      </c>
      <c r="I10" s="101" t="s">
        <v>297</v>
      </c>
      <c r="J10" s="101" t="s">
        <v>297</v>
      </c>
    </row>
    <row r="11" spans="1:10" x14ac:dyDescent="0.25">
      <c r="A11" s="54" t="s">
        <v>32</v>
      </c>
      <c r="B11" s="101">
        <v>191.25346776680001</v>
      </c>
      <c r="C11" s="98" t="s">
        <v>235</v>
      </c>
      <c r="D11" s="101" t="s">
        <v>297</v>
      </c>
      <c r="E11" s="101" t="s">
        <v>297</v>
      </c>
      <c r="F11" s="101" t="s">
        <v>297</v>
      </c>
      <c r="G11" s="101" t="s">
        <v>297</v>
      </c>
      <c r="H11" s="101" t="s">
        <v>297</v>
      </c>
      <c r="I11" s="101" t="s">
        <v>297</v>
      </c>
      <c r="J11" s="101" t="s">
        <v>297</v>
      </c>
    </row>
    <row r="12" spans="1:10" s="7" customFormat="1" x14ac:dyDescent="0.25">
      <c r="A12" s="9" t="s">
        <v>33</v>
      </c>
      <c r="B12" s="45">
        <v>1.2269000000000001</v>
      </c>
      <c r="C12" s="98" t="s">
        <v>235</v>
      </c>
      <c r="D12" s="45" t="s">
        <v>297</v>
      </c>
      <c r="E12" s="45" t="s">
        <v>297</v>
      </c>
      <c r="F12" s="45" t="s">
        <v>297</v>
      </c>
      <c r="G12" s="45" t="s">
        <v>297</v>
      </c>
      <c r="H12" s="45" t="s">
        <v>297</v>
      </c>
      <c r="I12" s="45" t="s">
        <v>297</v>
      </c>
      <c r="J12" s="45" t="s">
        <v>297</v>
      </c>
    </row>
    <row r="13" spans="1:10" s="7" customFormat="1" x14ac:dyDescent="0.25">
      <c r="A13" s="9" t="s">
        <v>34</v>
      </c>
      <c r="B13" s="45">
        <v>0.174569</v>
      </c>
      <c r="C13" s="98" t="s">
        <v>235</v>
      </c>
      <c r="D13" s="45" t="s">
        <v>297</v>
      </c>
      <c r="E13" s="45" t="s">
        <v>297</v>
      </c>
      <c r="F13" s="45" t="s">
        <v>297</v>
      </c>
      <c r="G13" s="45" t="s">
        <v>297</v>
      </c>
      <c r="H13" s="45" t="s">
        <v>297</v>
      </c>
      <c r="I13" s="45" t="s">
        <v>297</v>
      </c>
      <c r="J13" s="45" t="s">
        <v>297</v>
      </c>
    </row>
    <row r="14" spans="1:10" s="7" customFormat="1" x14ac:dyDescent="0.25">
      <c r="A14" s="9" t="s">
        <v>35</v>
      </c>
      <c r="B14" s="102">
        <v>-28.1290599513</v>
      </c>
      <c r="C14" s="98" t="s">
        <v>235</v>
      </c>
      <c r="D14" s="102" t="s">
        <v>297</v>
      </c>
      <c r="E14" s="102" t="s">
        <v>297</v>
      </c>
      <c r="F14" s="102" t="s">
        <v>297</v>
      </c>
      <c r="G14" s="102" t="s">
        <v>297</v>
      </c>
      <c r="H14" s="102" t="s">
        <v>297</v>
      </c>
      <c r="I14" s="102" t="s">
        <v>297</v>
      </c>
      <c r="J14" s="102" t="s">
        <v>297</v>
      </c>
    </row>
    <row r="15" spans="1:10" x14ac:dyDescent="0.25">
      <c r="A15" s="54" t="s">
        <v>37</v>
      </c>
      <c r="B15" s="44">
        <v>-6.8616999999999997E-2</v>
      </c>
      <c r="C15" s="98" t="s">
        <v>235</v>
      </c>
      <c r="D15" s="44" t="s">
        <v>297</v>
      </c>
      <c r="E15" s="44" t="s">
        <v>297</v>
      </c>
      <c r="F15" s="44" t="s">
        <v>297</v>
      </c>
      <c r="G15" s="44" t="s">
        <v>297</v>
      </c>
      <c r="H15" s="44" t="s">
        <v>297</v>
      </c>
      <c r="I15" s="44" t="s">
        <v>297</v>
      </c>
      <c r="J15" s="44" t="s">
        <v>297</v>
      </c>
    </row>
    <row r="16" spans="1:10" s="7" customFormat="1" ht="25.8" customHeight="1" x14ac:dyDescent="0.25">
      <c r="A16" s="9" t="s">
        <v>38</v>
      </c>
      <c r="B16" s="102">
        <v>2.2768763184999998</v>
      </c>
      <c r="C16" s="98" t="s">
        <v>235</v>
      </c>
      <c r="D16" s="102" t="s">
        <v>297</v>
      </c>
      <c r="E16" s="102" t="s">
        <v>297</v>
      </c>
      <c r="F16" s="102" t="s">
        <v>297</v>
      </c>
      <c r="G16" s="102" t="s">
        <v>297</v>
      </c>
      <c r="H16" s="102" t="s">
        <v>297</v>
      </c>
      <c r="I16" s="102" t="s">
        <v>297</v>
      </c>
      <c r="J16" s="102" t="s">
        <v>297</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236</v>
      </c>
      <c r="B1" s="124"/>
      <c r="C1" s="124"/>
      <c r="D1" s="124"/>
      <c r="E1" s="124"/>
      <c r="F1" s="124"/>
    </row>
    <row r="2" spans="1:6" x14ac:dyDescent="0.25">
      <c r="A2" s="51" t="s">
        <v>237</v>
      </c>
      <c r="B2" s="50" t="s">
        <v>238</v>
      </c>
      <c r="C2" s="50" t="s">
        <v>239</v>
      </c>
      <c r="D2" s="50" t="s">
        <v>240</v>
      </c>
      <c r="E2" s="50" t="s">
        <v>203</v>
      </c>
      <c r="F2" s="50" t="s">
        <v>241</v>
      </c>
    </row>
    <row r="3" spans="1:6" ht="48" customHeight="1" x14ac:dyDescent="0.25">
      <c r="A3" s="104">
        <v>43535</v>
      </c>
      <c r="B3" s="52" t="s">
        <v>242</v>
      </c>
      <c r="C3" s="105" t="s">
        <v>243</v>
      </c>
      <c r="D3" s="105"/>
      <c r="E3" s="52" t="s">
        <v>207</v>
      </c>
      <c r="F3" s="105" t="s">
        <v>244</v>
      </c>
    </row>
    <row r="4" spans="1:6" ht="49.5" customHeight="1" x14ac:dyDescent="0.25">
      <c r="A4" s="104">
        <v>43535</v>
      </c>
      <c r="B4" s="52" t="s">
        <v>245</v>
      </c>
      <c r="C4" s="105" t="s">
        <v>246</v>
      </c>
      <c r="D4" s="105"/>
      <c r="E4" s="52" t="s">
        <v>247</v>
      </c>
      <c r="F4" s="105"/>
    </row>
    <row r="5" spans="1:6" ht="125.4" x14ac:dyDescent="0.25">
      <c r="A5" s="104">
        <v>43438</v>
      </c>
      <c r="B5" s="52" t="s">
        <v>248</v>
      </c>
      <c r="C5" s="105" t="s">
        <v>243</v>
      </c>
      <c r="D5" s="105"/>
      <c r="E5" s="52" t="s">
        <v>249</v>
      </c>
      <c r="F5" s="105" t="s">
        <v>250</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251</v>
      </c>
      <c r="B21" s="143"/>
      <c r="C21" s="143"/>
      <c r="D21" s="143"/>
      <c r="E21" s="143"/>
      <c r="F21" s="143"/>
    </row>
    <row r="22" spans="1:6" x14ac:dyDescent="0.25">
      <c r="A22" s="84" t="s">
        <v>237</v>
      </c>
      <c r="B22" s="84" t="s">
        <v>238</v>
      </c>
      <c r="C22" s="84" t="s">
        <v>252</v>
      </c>
      <c r="D22" s="84" t="s">
        <v>253</v>
      </c>
      <c r="E22" s="84" t="s">
        <v>203</v>
      </c>
      <c r="F22" s="84" t="s">
        <v>241</v>
      </c>
    </row>
    <row r="23" spans="1:6" x14ac:dyDescent="0.25">
      <c r="A23" s="107">
        <v>43497</v>
      </c>
      <c r="B23" s="58" t="s">
        <v>254</v>
      </c>
      <c r="C23" s="108" t="s">
        <v>255</v>
      </c>
      <c r="D23" s="108"/>
      <c r="E23" s="58" t="s">
        <v>256</v>
      </c>
      <c r="F23" s="108" t="s">
        <v>257</v>
      </c>
    </row>
    <row r="24" spans="1:6" x14ac:dyDescent="0.25">
      <c r="A24" s="107">
        <v>43496</v>
      </c>
      <c r="B24" s="58" t="s">
        <v>258</v>
      </c>
      <c r="C24" s="108" t="s">
        <v>259</v>
      </c>
      <c r="D24" s="108"/>
      <c r="E24" s="58" t="s">
        <v>260</v>
      </c>
      <c r="F24" s="108" t="s">
        <v>261</v>
      </c>
    </row>
    <row r="25" spans="1:6" x14ac:dyDescent="0.25">
      <c r="A25" s="107">
        <v>43433</v>
      </c>
      <c r="B25" s="58" t="s">
        <v>262</v>
      </c>
      <c r="C25" s="108" t="s">
        <v>263</v>
      </c>
      <c r="D25" s="108"/>
      <c r="E25" s="58" t="s">
        <v>264</v>
      </c>
      <c r="F25" s="108" t="s">
        <v>265</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266</v>
      </c>
      <c r="B1" s="124"/>
      <c r="C1" s="124"/>
      <c r="D1" s="124"/>
      <c r="E1" s="124"/>
      <c r="F1" s="124"/>
      <c r="G1" s="124"/>
      <c r="H1" s="124"/>
      <c r="I1" s="124"/>
      <c r="J1" s="124"/>
      <c r="K1" s="124"/>
      <c r="L1" s="124"/>
      <c r="M1" s="124"/>
      <c r="N1" s="124"/>
    </row>
    <row r="2" spans="1:18" s="1" customFormat="1" ht="25.5" customHeight="1" x14ac:dyDescent="0.25">
      <c r="A2" s="55" t="s">
        <v>267</v>
      </c>
      <c r="B2" s="55" t="s">
        <v>268</v>
      </c>
      <c r="C2" s="55" t="s">
        <v>269</v>
      </c>
      <c r="D2" s="55" t="s">
        <v>270</v>
      </c>
      <c r="E2" s="55" t="s">
        <v>271</v>
      </c>
      <c r="F2" s="55" t="s">
        <v>272</v>
      </c>
      <c r="G2" s="55" t="s">
        <v>273</v>
      </c>
      <c r="H2" s="55" t="s">
        <v>16</v>
      </c>
      <c r="I2" s="55" t="s">
        <v>274</v>
      </c>
      <c r="J2" s="55" t="s">
        <v>275</v>
      </c>
      <c r="K2" s="55" t="s">
        <v>276</v>
      </c>
      <c r="L2" s="55" t="s">
        <v>277</v>
      </c>
      <c r="M2" s="55" t="s">
        <v>19</v>
      </c>
      <c r="N2" s="55" t="s">
        <v>278</v>
      </c>
      <c r="O2" s="3"/>
      <c r="P2" s="110" t="str">
        <f ca="1">Q2</f>
        <v>2019-04-17</v>
      </c>
      <c r="Q2" s="1" t="str">
        <f ca="1">[1]!td(R2-1)</f>
        <v>2019-04-17</v>
      </c>
      <c r="R2" s="3">
        <f ca="1">TODAY()</f>
        <v>43573</v>
      </c>
    </row>
    <row r="3" spans="1:18" ht="15.75" customHeight="1" x14ac:dyDescent="0.25">
      <c r="A3" s="111" t="str">
        <f>[1]!b_info_name(L3)</f>
        <v>19电科院SCP001</v>
      </c>
      <c r="B3" s="2" t="str">
        <f>[1]!b_issue_firstissue(L3)</f>
        <v>2019-04-19</v>
      </c>
      <c r="C3" s="111">
        <f>[1]!b_info_term(L3)</f>
        <v>0.73970000000000002</v>
      </c>
      <c r="D3" s="112" t="str">
        <f>[1]!issuerrating(L3)</f>
        <v>AAA</v>
      </c>
      <c r="E3" s="112" t="str">
        <f>[1]!b_info_creditrating(L3)</f>
        <v>-</v>
      </c>
      <c r="F3" s="111" t="str">
        <f>[1]!b_rate_creditratingagency(L3)</f>
        <v>中诚信国际信用评级有限责任公司</v>
      </c>
      <c r="G3" s="113">
        <f>[1]!b_agency_guarantor(L3)</f>
        <v>0</v>
      </c>
      <c r="H3" s="114" t="s">
        <v>279</v>
      </c>
      <c r="I3" s="66"/>
      <c r="J3" s="115" t="s">
        <v>279</v>
      </c>
      <c r="K3" s="116"/>
      <c r="L3" s="41" t="str">
        <f>公式页!A2</f>
        <v>d19041813.IB</v>
      </c>
      <c r="M3" s="114" t="s">
        <v>279</v>
      </c>
      <c r="N3" s="111" t="str">
        <f>[1]!b_agency_leadunderwriter(L3)</f>
        <v>北京银行股份有限公司,渤海银行股份有限公司</v>
      </c>
      <c r="P3" s="109" t="str">
        <f t="shared" ref="P3:P29" ca="1" si="0">$P$2</f>
        <v>2019-04-17</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3.7271000000000001</v>
      </c>
      <c r="K4" s="116">
        <f>K3</f>
        <v>0</v>
      </c>
      <c r="L4" s="4" t="s">
        <v>280</v>
      </c>
      <c r="M4" s="114">
        <f>[1]!b_info_issueamount(L4)/100000000</f>
        <v>5</v>
      </c>
      <c r="N4" s="111" t="str">
        <f>[1]!b_agency_leadunderwriter(L4)</f>
        <v>上海浦东发展银行股份有限公司,中国国际金融股份有限公司</v>
      </c>
      <c r="P4" s="109" t="str">
        <f t="shared" ca="1" si="0"/>
        <v>2019-04-17</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2019-04-17</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2019-04-17</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2019-04-17</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2019-04-17</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2019-04-17</v>
      </c>
    </row>
    <row r="10" spans="1:18" x14ac:dyDescent="0.25">
      <c r="P10" s="109" t="str">
        <f t="shared" ca="1" si="0"/>
        <v>2019-04-17</v>
      </c>
    </row>
    <row r="11" spans="1:18" x14ac:dyDescent="0.25">
      <c r="P11" s="109" t="str">
        <f t="shared" ca="1" si="0"/>
        <v>2019-04-17</v>
      </c>
    </row>
    <row r="12" spans="1:18" x14ac:dyDescent="0.25">
      <c r="A12" s="150" t="s">
        <v>281</v>
      </c>
      <c r="B12" s="124"/>
      <c r="C12" s="124"/>
      <c r="D12" s="124"/>
      <c r="E12" s="124"/>
      <c r="F12" s="124"/>
      <c r="G12" s="124"/>
      <c r="H12" s="124"/>
      <c r="I12" s="124"/>
      <c r="J12" s="124"/>
      <c r="K12" s="124"/>
      <c r="L12" s="124"/>
      <c r="M12" s="124"/>
      <c r="N12" s="124"/>
      <c r="P12" s="109" t="str">
        <f t="shared" ca="1" si="0"/>
        <v>2019-04-17</v>
      </c>
    </row>
    <row r="13" spans="1:18" s="1" customFormat="1" ht="43.2" customHeight="1" x14ac:dyDescent="0.25">
      <c r="A13" s="55" t="s">
        <v>267</v>
      </c>
      <c r="B13" s="55" t="s">
        <v>268</v>
      </c>
      <c r="C13" s="55" t="s">
        <v>269</v>
      </c>
      <c r="D13" s="55" t="s">
        <v>270</v>
      </c>
      <c r="E13" s="55" t="s">
        <v>271</v>
      </c>
      <c r="F13" s="55" t="s">
        <v>272</v>
      </c>
      <c r="G13" s="55" t="s">
        <v>273</v>
      </c>
      <c r="H13" s="55" t="s">
        <v>16</v>
      </c>
      <c r="I13" s="55" t="s">
        <v>274</v>
      </c>
      <c r="J13" s="55" t="s">
        <v>275</v>
      </c>
      <c r="K13" s="55" t="s">
        <v>276</v>
      </c>
      <c r="L13" s="55" t="s">
        <v>277</v>
      </c>
      <c r="M13" s="55" t="s">
        <v>19</v>
      </c>
      <c r="N13" s="55" t="s">
        <v>278</v>
      </c>
      <c r="P13" s="109" t="str">
        <f t="shared" ca="1" si="0"/>
        <v>2019-04-17</v>
      </c>
    </row>
    <row r="14" spans="1:18" ht="15.75" customHeight="1" x14ac:dyDescent="0.25">
      <c r="A14" s="111" t="str">
        <f>[1]!b_info_name(L14)</f>
        <v>19电科院SCP001</v>
      </c>
      <c r="B14" s="2" t="str">
        <f>[1]!b_issue_firstissue(L14)</f>
        <v>2019-04-19</v>
      </c>
      <c r="C14" s="111">
        <f>[1]!b_info_term(L14)</f>
        <v>0.73970000000000002</v>
      </c>
      <c r="D14" s="112" t="str">
        <f>[1]!issuerrating(L14)</f>
        <v>AAA</v>
      </c>
      <c r="E14" s="112" t="str">
        <f>[1]!b_info_creditrating(L14)</f>
        <v>-</v>
      </c>
      <c r="F14" s="111" t="str">
        <f>[1]!b_rate_creditratingagency(L14)</f>
        <v>中诚信国际信用评级有限责任公司</v>
      </c>
      <c r="G14" s="113">
        <f>[1]!b_agency_guarantor(L14)</f>
        <v>0</v>
      </c>
      <c r="H14" s="114" t="s">
        <v>279</v>
      </c>
      <c r="I14" s="66"/>
      <c r="J14" s="115" t="s">
        <v>279</v>
      </c>
      <c r="K14" s="116">
        <f>K3</f>
        <v>0</v>
      </c>
      <c r="L14" s="42" t="str">
        <f>L3</f>
        <v>d19041813.IB</v>
      </c>
      <c r="M14" s="114" t="s">
        <v>279</v>
      </c>
      <c r="N14" s="111" t="str">
        <f>[1]!b_agency_leadunderwriter(L14)</f>
        <v>北京银行股份有限公司,渤海银行股份有限公司</v>
      </c>
      <c r="P14" s="109" t="str">
        <f t="shared" ca="1" si="0"/>
        <v>2019-04-17</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282</v>
      </c>
      <c r="M15" s="114">
        <f>[1]!b_info_issueamount(L15)/100000000</f>
        <v>5</v>
      </c>
      <c r="N15" s="111" t="str">
        <f>[1]!b_agency_leadunderwriter(L15)</f>
        <v>招商银行股份有限公司</v>
      </c>
      <c r="O15" t="str">
        <f>[1]!b_issuer_windindustry(L15,4)</f>
        <v>西药</v>
      </c>
      <c r="P15" s="109" t="str">
        <f t="shared" ca="1" si="0"/>
        <v>2019-04-17</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283</v>
      </c>
      <c r="M16" s="114">
        <f>[1]!b_info_issueamount(L16)/100000000</f>
        <v>6</v>
      </c>
      <c r="N16" s="111" t="str">
        <f>[1]!b_agency_leadunderwriter(L16)</f>
        <v>北京银行股份有限公司</v>
      </c>
      <c r="O16" t="str">
        <f>[1]!b_issuer_windindustry(L16,4)</f>
        <v>化肥与农用化工</v>
      </c>
      <c r="P16" s="109" t="str">
        <f t="shared" ca="1" si="0"/>
        <v>2019-04-17</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284</v>
      </c>
      <c r="M17" s="114">
        <f>[1]!b_info_issueamount(L17)/100000000</f>
        <v>3.5</v>
      </c>
      <c r="N17" s="111" t="str">
        <f>[1]!b_agency_leadunderwriter(L17)</f>
        <v>华夏银行股份有限公司</v>
      </c>
      <c r="O17" t="str">
        <f>[1]!b_issuer_windindustry(L17,4)</f>
        <v>食品加工与肉类</v>
      </c>
      <c r="P17" s="109" t="str">
        <f t="shared" ca="1" si="0"/>
        <v>2019-04-17</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285</v>
      </c>
      <c r="M18" s="114">
        <f>[1]!b_info_issueamount(L18)/100000000</f>
        <v>3</v>
      </c>
      <c r="N18" s="111" t="str">
        <f>[1]!b_agency_leadunderwriter(L18)</f>
        <v>兴业银行股份有限公司</v>
      </c>
      <c r="O18" t="str">
        <f>[1]!b_issuer_windindustry(L18,4)</f>
        <v>工业机械</v>
      </c>
      <c r="P18" s="109" t="str">
        <f t="shared" ca="1" si="0"/>
        <v>2019-04-17</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286</v>
      </c>
      <c r="M19" s="114">
        <f>[1]!b_info_issueamount(L19)/100000000</f>
        <v>3</v>
      </c>
      <c r="N19" s="111" t="str">
        <f>[1]!b_agency_leadunderwriter(L19)</f>
        <v>中国银行股份有限公司</v>
      </c>
      <c r="O19" t="str">
        <f>[1]!b_issuer_windindustry(L19,4)</f>
        <v>半导体产品</v>
      </c>
      <c r="P19" s="109" t="str">
        <f t="shared" ca="1" si="0"/>
        <v>2019-04-17</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287</v>
      </c>
      <c r="M20" s="114">
        <f>[1]!b_info_issueamount(L20)/100000000</f>
        <v>5</v>
      </c>
      <c r="N20" s="111" t="str">
        <f>[1]!b_agency_leadunderwriter(L20)</f>
        <v>中国银行股份有限公司</v>
      </c>
      <c r="O20" t="str">
        <f>[1]!b_issuer_windindustry(L20,4)</f>
        <v>医疗保健用品</v>
      </c>
      <c r="P20" s="109" t="str">
        <f t="shared" ca="1" si="0"/>
        <v>2019-04-17</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288</v>
      </c>
      <c r="M21" s="114">
        <f>[1]!b_info_issueamount(L21)/100000000</f>
        <v>2</v>
      </c>
      <c r="N21" s="111" t="str">
        <f>[1]!b_agency_leadunderwriter(L21)</f>
        <v>中国银行股份有限公司</v>
      </c>
      <c r="O21" t="str">
        <f>[1]!b_issuer_windindustry(L21,4)</f>
        <v>食品加工与肉类</v>
      </c>
      <c r="P21" s="109" t="str">
        <f t="shared" ca="1" si="0"/>
        <v>2019-04-17</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289</v>
      </c>
      <c r="M22" s="114">
        <f>[1]!b_info_issueamount(L22)/100000000</f>
        <v>4</v>
      </c>
      <c r="N22" s="111" t="str">
        <f>[1]!b_agency_leadunderwriter(L22)</f>
        <v>中国工商银行股份有限公司</v>
      </c>
      <c r="O22" t="str">
        <f>[1]!b_issuer_windindustry(L22,4)</f>
        <v>酒店、度假村与豪华游轮</v>
      </c>
      <c r="P22" s="109" t="str">
        <f t="shared" ca="1" si="0"/>
        <v>2019-04-17</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290</v>
      </c>
      <c r="M23" s="114">
        <f>[1]!b_info_issueamount(L23)/100000000</f>
        <v>4</v>
      </c>
      <c r="N23" s="111" t="str">
        <f>[1]!b_agency_leadunderwriter(L23)</f>
        <v>中国银行股份有限公司</v>
      </c>
      <c r="O23" t="str">
        <f>[1]!b_issuer_windindustry(L23,4)</f>
        <v>金属非金属</v>
      </c>
      <c r="P23" s="109" t="str">
        <f t="shared" ca="1" si="0"/>
        <v>2019-04-17</v>
      </c>
    </row>
    <row r="24" spans="1:16" x14ac:dyDescent="0.25">
      <c r="P24" s="109" t="str">
        <f t="shared" ca="1" si="0"/>
        <v>2019-04-17</v>
      </c>
    </row>
    <row r="25" spans="1:16" x14ac:dyDescent="0.25">
      <c r="P25" s="109" t="str">
        <f t="shared" ca="1" si="0"/>
        <v>2019-04-17</v>
      </c>
    </row>
    <row r="26" spans="1:16" x14ac:dyDescent="0.25">
      <c r="P26" s="109" t="str">
        <f t="shared" ca="1" si="0"/>
        <v>2019-04-17</v>
      </c>
    </row>
    <row r="27" spans="1:16" x14ac:dyDescent="0.25">
      <c r="P27" s="109" t="str">
        <f t="shared" ca="1" si="0"/>
        <v>2019-04-17</v>
      </c>
    </row>
    <row r="28" spans="1:16" x14ac:dyDescent="0.25">
      <c r="P28" s="109" t="str">
        <f t="shared" ca="1" si="0"/>
        <v>2019-04-17</v>
      </c>
    </row>
    <row r="29" spans="1:16" x14ac:dyDescent="0.25">
      <c r="P29" s="109" t="str">
        <f t="shared" ca="1" si="0"/>
        <v>2019-04-17</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2019-04-18T07:42:48Z</dcterms:modified>
</cp:coreProperties>
</file>