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9B41356B-EA26-4EE8-A5E5-07D8E0604146}"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M21" i="6"/>
  <c r="G20" i="6"/>
  <c r="D19" i="6"/>
  <c r="A18" i="6"/>
  <c r="B17" i="6"/>
  <c r="G16" i="6"/>
  <c r="O15" i="6"/>
  <c r="D15" i="6"/>
  <c r="G14" i="6"/>
  <c r="A9" i="6"/>
  <c r="F8" i="6"/>
  <c r="M7" i="6"/>
  <c r="C7" i="6"/>
  <c r="C6" i="6"/>
  <c r="A5" i="6"/>
  <c r="F4"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O23" i="6"/>
  <c r="F21" i="6"/>
  <c r="C20" i="6"/>
  <c r="M17" i="6"/>
  <c r="O16" i="6"/>
  <c r="D16" i="6"/>
  <c r="A15" i="6"/>
  <c r="D14" i="6"/>
  <c r="H9" i="6"/>
  <c r="E8" i="6"/>
  <c r="B7" i="6"/>
  <c r="H6" i="6"/>
  <c r="H5" i="6"/>
  <c r="E4" i="6"/>
  <c r="G3" i="6"/>
  <c r="M141" i="1"/>
  <c r="M139" i="1"/>
  <c r="M137" i="1"/>
  <c r="O135" i="1"/>
  <c r="M134" i="1"/>
  <c r="S132" i="1"/>
  <c r="O131" i="1"/>
  <c r="S130" i="1"/>
  <c r="M128" i="1"/>
  <c r="O127" i="1"/>
  <c r="M123" i="1"/>
  <c r="F113" i="1"/>
  <c r="D112" i="1"/>
  <c r="S110" i="1"/>
  <c r="D110" i="1"/>
  <c r="P103" i="1"/>
  <c r="L103" i="1"/>
  <c r="E102" i="1"/>
  <c r="R101" i="1"/>
  <c r="N101" i="1"/>
  <c r="G101" i="1"/>
  <c r="C101" i="1"/>
  <c r="P100" i="1"/>
  <c r="H23" i="6"/>
  <c r="B21" i="6"/>
  <c r="N16" i="6"/>
  <c r="H15" i="6"/>
  <c r="C14" i="6"/>
  <c r="E9" i="6"/>
  <c r="B8" i="6"/>
  <c r="F7" i="6"/>
  <c r="G6" i="6"/>
  <c r="E5" i="6"/>
  <c r="B4" i="6"/>
  <c r="C3" i="6"/>
  <c r="S138" i="1"/>
  <c r="M135" i="1"/>
  <c r="O132" i="1"/>
  <c r="O130" i="1"/>
  <c r="M127" i="1"/>
  <c r="S112" i="1"/>
  <c r="F111" i="1"/>
  <c r="N103" i="1"/>
  <c r="C102" i="1"/>
  <c r="L101" i="1"/>
  <c r="R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F61" i="1"/>
  <c r="F57" i="1"/>
  <c r="D56" i="1"/>
  <c r="B55" i="1"/>
  <c r="F53" i="1"/>
  <c r="D52" i="1"/>
  <c r="B51" i="1"/>
  <c r="F49" i="1"/>
  <c r="D48" i="1"/>
  <c r="F47" i="1"/>
  <c r="D46" i="1"/>
  <c r="D44" i="1"/>
  <c r="B43" i="1"/>
  <c r="F41" i="1"/>
  <c r="D40" i="1"/>
  <c r="B39" i="1"/>
  <c r="F37" i="1"/>
  <c r="D36" i="1"/>
  <c r="B35" i="1"/>
  <c r="D34" i="1"/>
  <c r="B33" i="1"/>
  <c r="D23" i="6"/>
  <c r="N20" i="6"/>
  <c r="E18" i="6"/>
  <c r="H16" i="6"/>
  <c r="E15" i="6"/>
  <c r="D9" i="6"/>
  <c r="A8" i="6"/>
  <c r="N6" i="6"/>
  <c r="D6" i="6"/>
  <c r="D5" i="6"/>
  <c r="A4" i="6"/>
  <c r="Q2" i="6"/>
  <c r="M138" i="1"/>
  <c r="S134" i="1"/>
  <c r="M132" i="1"/>
  <c r="M130" i="1"/>
  <c r="S128" i="1"/>
  <c r="D111" i="1"/>
  <c r="S109" i="1"/>
  <c r="J103" i="1"/>
  <c r="Q101" i="1"/>
  <c r="F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B61" i="1"/>
  <c r="D60" i="1"/>
  <c r="F59" i="1"/>
  <c r="B59" i="1"/>
  <c r="D58" i="1"/>
  <c r="B57" i="1"/>
  <c r="F55" i="1"/>
  <c r="D54" i="1"/>
  <c r="B53" i="1"/>
  <c r="F51" i="1"/>
  <c r="D50" i="1"/>
  <c r="B49" i="1"/>
  <c r="B47" i="1"/>
  <c r="F45" i="1"/>
  <c r="B45" i="1"/>
  <c r="F43" i="1"/>
  <c r="D42" i="1"/>
  <c r="B41" i="1"/>
  <c r="F39" i="1"/>
  <c r="D38" i="1"/>
  <c r="B37" i="1"/>
  <c r="F35" i="1"/>
  <c r="F33" i="1"/>
  <c r="D32" i="1"/>
  <c r="E22" i="6"/>
  <c r="F17" i="6"/>
  <c r="M6" i="6"/>
  <c r="S140" i="1"/>
  <c r="S133" i="1"/>
  <c r="S129" i="1"/>
  <c r="M110" i="1"/>
  <c r="G102" i="1"/>
  <c r="E101" i="1"/>
  <c r="G100" i="1"/>
  <c r="P99" i="1"/>
  <c r="E99" i="1"/>
  <c r="N98" i="1"/>
  <c r="C98" i="1"/>
  <c r="L97" i="1"/>
  <c r="R96" i="1"/>
  <c r="G96" i="1"/>
  <c r="E95" i="1"/>
  <c r="C94" i="1"/>
  <c r="G92" i="1"/>
  <c r="E91" i="1"/>
  <c r="C90" i="1"/>
  <c r="G88" i="1"/>
  <c r="E87" i="1"/>
  <c r="C86" i="1"/>
  <c r="G84" i="1"/>
  <c r="E83" i="1"/>
  <c r="C82" i="1"/>
  <c r="G80" i="1"/>
  <c r="E79" i="1"/>
  <c r="C78" i="1"/>
  <c r="G76" i="1"/>
  <c r="E75" i="1"/>
  <c r="C74" i="1"/>
  <c r="G72" i="1"/>
  <c r="E71" i="1"/>
  <c r="C70" i="1"/>
  <c r="G68" i="1"/>
  <c r="E67" i="1"/>
  <c r="C66" i="1"/>
  <c r="G64" i="1"/>
  <c r="E63" i="1"/>
  <c r="C62" i="1"/>
  <c r="G60" i="1"/>
  <c r="E59" i="1"/>
  <c r="C58" i="1"/>
  <c r="G56" i="1"/>
  <c r="E55" i="1"/>
  <c r="C54" i="1"/>
  <c r="G52" i="1"/>
  <c r="E51" i="1"/>
  <c r="C50" i="1"/>
  <c r="G48" i="1"/>
  <c r="E47" i="1"/>
  <c r="C46" i="1"/>
  <c r="G44" i="1"/>
  <c r="E43" i="1"/>
  <c r="C42" i="1"/>
  <c r="G40" i="1"/>
  <c r="E39" i="1"/>
  <c r="C38" i="1"/>
  <c r="G36" i="1"/>
  <c r="E35" i="1"/>
  <c r="C34" i="1"/>
  <c r="G32" i="1"/>
  <c r="F31" i="1"/>
  <c r="G30" i="1"/>
  <c r="B30" i="1"/>
  <c r="M29" i="1"/>
  <c r="E29" i="1"/>
  <c r="Q28" i="1"/>
  <c r="J28" i="1"/>
  <c r="C28" i="1"/>
  <c r="O27" i="1"/>
  <c r="F27" i="1"/>
  <c r="R26" i="1"/>
  <c r="M26" i="1"/>
  <c r="D26" i="1"/>
  <c r="P25" i="1"/>
  <c r="J25" i="1"/>
  <c r="B25" i="1"/>
  <c r="N24" i="1"/>
  <c r="F24" i="1"/>
  <c r="Q23" i="1"/>
  <c r="L23" i="1"/>
  <c r="D23" i="1"/>
  <c r="G22" i="1"/>
  <c r="B22" i="1"/>
  <c r="M21" i="1"/>
  <c r="E21" i="1"/>
  <c r="Q20" i="1"/>
  <c r="J20" i="1"/>
  <c r="C20" i="1"/>
  <c r="O19" i="1"/>
  <c r="F19" i="1"/>
  <c r="G18" i="1"/>
  <c r="B18" i="1"/>
  <c r="M17" i="1"/>
  <c r="E17" i="1"/>
  <c r="G16" i="1"/>
  <c r="R15" i="1"/>
  <c r="M15" i="1"/>
  <c r="E15" i="1"/>
  <c r="E14" i="1"/>
  <c r="B11" i="1"/>
  <c r="F8" i="1"/>
  <c r="B5" i="1"/>
  <c r="C16" i="6"/>
  <c r="N9" i="6"/>
  <c r="M131" i="1"/>
  <c r="F109" i="1"/>
  <c r="P101" i="1"/>
  <c r="C100" i="1"/>
  <c r="R98" i="1"/>
  <c r="P97" i="1"/>
  <c r="N96" i="1"/>
  <c r="G94" i="1"/>
  <c r="C92" i="1"/>
  <c r="E89" i="1"/>
  <c r="G86" i="1"/>
  <c r="C84" i="1"/>
  <c r="E81" i="1"/>
  <c r="G78" i="1"/>
  <c r="G74" i="1"/>
  <c r="C72" i="1"/>
  <c r="E69" i="1"/>
  <c r="G66" i="1"/>
  <c r="C64" i="1"/>
  <c r="E61" i="1"/>
  <c r="G58" i="1"/>
  <c r="C56" i="1"/>
  <c r="G54" i="1"/>
  <c r="C52" i="1"/>
  <c r="C48" i="1"/>
  <c r="G46" i="1"/>
  <c r="C44" i="1"/>
  <c r="E41" i="1"/>
  <c r="G38" i="1"/>
  <c r="C36" i="1"/>
  <c r="E33" i="1"/>
  <c r="D31" i="1"/>
  <c r="P29" i="1"/>
  <c r="B29" i="1"/>
  <c r="F28" i="1"/>
  <c r="L27" i="1"/>
  <c r="O26" i="1"/>
  <c r="M25" i="1"/>
  <c r="Q24" i="1"/>
  <c r="C24" i="1"/>
  <c r="F23" i="1"/>
  <c r="D22" i="1"/>
  <c r="J21" i="1"/>
  <c r="N20" i="1"/>
  <c r="Q19" i="1"/>
  <c r="D18" i="1"/>
  <c r="J17" i="1"/>
  <c r="D16" i="1"/>
  <c r="G15" i="1"/>
  <c r="F9" i="1"/>
  <c r="B4" i="1"/>
  <c r="G7" i="6"/>
  <c r="D109" i="1"/>
  <c r="M101" i="1"/>
  <c r="B100" i="1"/>
  <c r="Q98" i="1"/>
  <c r="O97" i="1"/>
  <c r="D97" i="1"/>
  <c r="B96" i="1"/>
  <c r="D93" i="1"/>
  <c r="F90" i="1"/>
  <c r="B88" i="1"/>
  <c r="D85" i="1"/>
  <c r="F82" i="1"/>
  <c r="B80" i="1"/>
  <c r="D77" i="1"/>
  <c r="F74" i="1"/>
  <c r="B72" i="1"/>
  <c r="B68" i="1"/>
  <c r="D65" i="1"/>
  <c r="F62" i="1"/>
  <c r="B60" i="1"/>
  <c r="D57" i="1"/>
  <c r="F54" i="1"/>
  <c r="B52" i="1"/>
  <c r="D49" i="1"/>
  <c r="F46" i="1"/>
  <c r="B44" i="1"/>
  <c r="D41" i="1"/>
  <c r="F38" i="1"/>
  <c r="B36" i="1"/>
  <c r="D33" i="1"/>
  <c r="B31" i="1"/>
  <c r="O29" i="1"/>
  <c r="R28" i="1"/>
  <c r="D28" i="1"/>
  <c r="J27" i="1"/>
  <c r="N26" i="1"/>
  <c r="Q25" i="1"/>
  <c r="D25" i="1"/>
  <c r="G24" i="1"/>
  <c r="M23" i="1"/>
  <c r="C22" i="1"/>
  <c r="F21" i="1"/>
  <c r="M20" i="1"/>
  <c r="P19" i="1"/>
  <c r="A22" i="6"/>
  <c r="C17" i="6"/>
  <c r="M140" i="1"/>
  <c r="O133" i="1"/>
  <c r="O129" i="1"/>
  <c r="D102" i="1"/>
  <c r="B101" i="1"/>
  <c r="F100" i="1"/>
  <c r="O99" i="1"/>
  <c r="D99" i="1"/>
  <c r="M98" i="1"/>
  <c r="B98" i="1"/>
  <c r="J97" i="1"/>
  <c r="Q96" i="1"/>
  <c r="F96" i="1"/>
  <c r="D95" i="1"/>
  <c r="B94" i="1"/>
  <c r="F92" i="1"/>
  <c r="D91" i="1"/>
  <c r="B90" i="1"/>
  <c r="F88" i="1"/>
  <c r="D87" i="1"/>
  <c r="B86" i="1"/>
  <c r="F84" i="1"/>
  <c r="D83" i="1"/>
  <c r="B82" i="1"/>
  <c r="F80" i="1"/>
  <c r="D79" i="1"/>
  <c r="B78" i="1"/>
  <c r="F76" i="1"/>
  <c r="D75" i="1"/>
  <c r="B74" i="1"/>
  <c r="F72" i="1"/>
  <c r="D71" i="1"/>
  <c r="B70" i="1"/>
  <c r="F68" i="1"/>
  <c r="D67" i="1"/>
  <c r="B66" i="1"/>
  <c r="F64" i="1"/>
  <c r="D63" i="1"/>
  <c r="B62" i="1"/>
  <c r="F60" i="1"/>
  <c r="D59" i="1"/>
  <c r="B58" i="1"/>
  <c r="F56" i="1"/>
  <c r="D55" i="1"/>
  <c r="B54" i="1"/>
  <c r="F52" i="1"/>
  <c r="D51" i="1"/>
  <c r="B50" i="1"/>
  <c r="F48" i="1"/>
  <c r="D47" i="1"/>
  <c r="B46" i="1"/>
  <c r="F44" i="1"/>
  <c r="D43" i="1"/>
  <c r="B42" i="1"/>
  <c r="F40" i="1"/>
  <c r="D39" i="1"/>
  <c r="B38" i="1"/>
  <c r="F36" i="1"/>
  <c r="D35" i="1"/>
  <c r="B34" i="1"/>
  <c r="F32" i="1"/>
  <c r="E31" i="1"/>
  <c r="F30" i="1"/>
  <c r="Q29" i="1"/>
  <c r="L29" i="1"/>
  <c r="D29" i="1"/>
  <c r="O28" i="1"/>
  <c r="G28" i="1"/>
  <c r="B28" i="1"/>
  <c r="M27" i="1"/>
  <c r="E27" i="1"/>
  <c r="Q26" i="1"/>
  <c r="J26" i="1"/>
  <c r="C26" i="1"/>
  <c r="O25" i="1"/>
  <c r="F25" i="1"/>
  <c r="R24" i="1"/>
  <c r="M24" i="1"/>
  <c r="D24" i="1"/>
  <c r="P23" i="1"/>
  <c r="J23" i="1"/>
  <c r="B23" i="1"/>
  <c r="F22" i="1"/>
  <c r="Q21" i="1"/>
  <c r="L21" i="1"/>
  <c r="D21" i="1"/>
  <c r="O20" i="1"/>
  <c r="G20" i="1"/>
  <c r="B20" i="1"/>
  <c r="M19" i="1"/>
  <c r="E19" i="1"/>
  <c r="F18" i="1"/>
  <c r="Q17" i="1"/>
  <c r="L17" i="1"/>
  <c r="D17" i="1"/>
  <c r="E16" i="1"/>
  <c r="Q15" i="1"/>
  <c r="L15" i="1"/>
  <c r="C15" i="1"/>
  <c r="D14" i="1"/>
  <c r="F10" i="1"/>
  <c r="F7" i="1"/>
  <c r="E4" i="1"/>
  <c r="O19" i="6"/>
  <c r="N5" i="6"/>
  <c r="S136" i="1"/>
  <c r="R103" i="1"/>
  <c r="N100" i="1"/>
  <c r="L99" i="1"/>
  <c r="G98" i="1"/>
  <c r="E97" i="1"/>
  <c r="C96" i="1"/>
  <c r="E93" i="1"/>
  <c r="G90" i="1"/>
  <c r="C88" i="1"/>
  <c r="E85" i="1"/>
  <c r="G82" i="1"/>
  <c r="C80" i="1"/>
  <c r="E77" i="1"/>
  <c r="C76" i="1"/>
  <c r="E73" i="1"/>
  <c r="G70" i="1"/>
  <c r="C68" i="1"/>
  <c r="E65" i="1"/>
  <c r="G62" i="1"/>
  <c r="C60" i="1"/>
  <c r="E57" i="1"/>
  <c r="E53" i="1"/>
  <c r="G50" i="1"/>
  <c r="E49" i="1"/>
  <c r="E45" i="1"/>
  <c r="G42" i="1"/>
  <c r="C40" i="1"/>
  <c r="E37" i="1"/>
  <c r="G34" i="1"/>
  <c r="C32" i="1"/>
  <c r="D30" i="1"/>
  <c r="J29" i="1"/>
  <c r="N28" i="1"/>
  <c r="Q27" i="1"/>
  <c r="D27" i="1"/>
  <c r="G26" i="1"/>
  <c r="B26" i="1"/>
  <c r="E25" i="1"/>
  <c r="J24" i="1"/>
  <c r="O23" i="1"/>
  <c r="P21" i="1"/>
  <c r="B21" i="1"/>
  <c r="F20" i="1"/>
  <c r="L19" i="1"/>
  <c r="D19" i="1"/>
  <c r="P17" i="1"/>
  <c r="B17" i="1"/>
  <c r="P15" i="1"/>
  <c r="B15" i="1"/>
  <c r="C14" i="1"/>
  <c r="B7" i="1"/>
  <c r="H19" i="6"/>
  <c r="D3" i="6"/>
  <c r="M136" i="1"/>
  <c r="S111" i="1"/>
  <c r="O103" i="1"/>
  <c r="M100" i="1"/>
  <c r="J99" i="1"/>
  <c r="F98" i="1"/>
  <c r="M96" i="1"/>
  <c r="F94" i="1"/>
  <c r="B92" i="1"/>
  <c r="D89" i="1"/>
  <c r="F86" i="1"/>
  <c r="B84" i="1"/>
  <c r="D81" i="1"/>
  <c r="F78" i="1"/>
  <c r="B76" i="1"/>
  <c r="D73" i="1"/>
  <c r="F70" i="1"/>
  <c r="D69" i="1"/>
  <c r="F66" i="1"/>
  <c r="B64" i="1"/>
  <c r="D61" i="1"/>
  <c r="F58" i="1"/>
  <c r="B56" i="1"/>
  <c r="D53" i="1"/>
  <c r="F50" i="1"/>
  <c r="B48" i="1"/>
  <c r="D45" i="1"/>
  <c r="F42" i="1"/>
  <c r="B40" i="1"/>
  <c r="D37" i="1"/>
  <c r="F34" i="1"/>
  <c r="B32" i="1"/>
  <c r="C30" i="1"/>
  <c r="F29" i="1"/>
  <c r="M28" i="1"/>
  <c r="P27" i="1"/>
  <c r="B27" i="1"/>
  <c r="F26" i="1"/>
  <c r="L25" i="1"/>
  <c r="O24" i="1"/>
  <c r="B24" i="1"/>
  <c r="E23" i="1"/>
  <c r="O21" i="1"/>
  <c r="R20" i="1"/>
  <c r="D20" i="1"/>
  <c r="J19" i="1"/>
  <c r="F17" i="1"/>
  <c r="F15" i="1"/>
  <c r="B6" i="1"/>
  <c r="C18" i="1"/>
  <c r="F11" i="1"/>
  <c r="N15" i="1"/>
  <c r="B19" i="1"/>
  <c r="J16" i="1"/>
  <c r="G14" i="1"/>
  <c r="C16" i="1"/>
  <c r="O17" i="1"/>
  <c r="B9" i="1"/>
  <c r="M22" i="1" l="1"/>
  <c r="H111" i="1"/>
  <c r="B126" i="1"/>
  <c r="H126" i="1"/>
  <c r="Q22" i="1"/>
  <c r="D119" i="1"/>
  <c r="D123" i="1"/>
  <c r="B130" i="1"/>
  <c r="N22" i="1"/>
  <c r="B121" i="1"/>
  <c r="R22" i="1"/>
  <c r="B110" i="1"/>
  <c r="H119" i="1"/>
  <c r="H123" i="1"/>
  <c r="H130" i="1"/>
  <c r="J22" i="1"/>
  <c r="O22" i="1"/>
  <c r="H109" i="1"/>
  <c r="H118" i="1"/>
  <c r="B120" i="1"/>
  <c r="B122" i="1"/>
  <c r="H124" i="1"/>
  <c r="B128" i="1"/>
  <c r="P2" i="6"/>
  <c r="L22" i="1"/>
  <c r="P22" i="1"/>
  <c r="H112" i="1"/>
  <c r="B117" i="1"/>
  <c r="D120" i="1"/>
  <c r="D122" i="1"/>
  <c r="B125" i="1"/>
  <c r="H128" i="1"/>
  <c r="H110" i="1"/>
  <c r="D117" i="1"/>
  <c r="B118" i="1"/>
  <c r="H120" i="1"/>
  <c r="D121" i="1"/>
  <c r="H122" i="1"/>
  <c r="B124" i="1"/>
  <c r="D125" i="1"/>
  <c r="B127" i="1"/>
  <c r="B129" i="1"/>
  <c r="B131"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23" i="6"/>
  <c r="P19" i="6"/>
  <c r="P26" i="6"/>
  <c r="P22" i="6"/>
  <c r="P12" i="6"/>
  <c r="P18" i="6"/>
  <c r="P9" i="6"/>
  <c r="P8" i="6"/>
  <c r="P5" i="6"/>
  <c r="P4" i="6"/>
  <c r="P13" i="6"/>
  <c r="P14" i="6"/>
  <c r="P15" i="6"/>
  <c r="J23" i="6"/>
  <c r="J5" i="6"/>
  <c r="J18" i="6"/>
  <c r="J7" i="6"/>
  <c r="J17" i="6"/>
  <c r="J22" i="6"/>
  <c r="J19" i="6"/>
  <c r="J21" i="6"/>
  <c r="J20" i="6"/>
  <c r="J6" i="6"/>
  <c r="J16" i="6"/>
  <c r="J8" i="6"/>
  <c r="J15" i="6"/>
  <c r="J9" i="6"/>
</calcChain>
</file>

<file path=xl/sharedStrings.xml><?xml version="1.0" encoding="utf-8"?>
<sst xmlns="http://schemas.openxmlformats.org/spreadsheetml/2006/main" count="565" uniqueCount="266">
  <si>
    <t>q19041709.IB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</si>
  <si>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</si>
  <si>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</si>
  <si>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</si>
  <si>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</si>
  <si>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</si>
  <si>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</si>
  <si>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</si>
  <si>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</si>
  <si>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</si>
  <si>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</si>
  <si>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</si>
  <si>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</si>
  <si>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</si>
  <si>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</si>
  <si>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</si>
  <si>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</si>
  <si>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</si>
  <si>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</si>
  <si>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</si>
  <si>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</si>
  <si>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</si>
  <si>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</si>
  <si>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101464013.IB</t>
  </si>
  <si>
    <t>主体级别</t>
  </si>
  <si>
    <t>AA</t>
  </si>
  <si>
    <t>1282122.IB</t>
  </si>
  <si>
    <t>*选择性黏贴</t>
  </si>
  <si>
    <t>041359064.IB</t>
  </si>
  <si>
    <t>数据年度</t>
  </si>
  <si>
    <t>2017年</t>
  </si>
  <si>
    <t>1480393.IB</t>
  </si>
  <si>
    <t>总资产</t>
  </si>
  <si>
    <t>1180159.IB</t>
  </si>
  <si>
    <t>负债率</t>
  </si>
  <si>
    <t>122256.SH</t>
  </si>
  <si>
    <t>流动比率</t>
  </si>
  <si>
    <t>1282144.IB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</si>
  <si>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</si>
  <si>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</si>
  <si>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</si>
  <si>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</si>
  <si>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</si>
  <si>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</si>
  <si>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</si>
  <si>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</si>
  <si>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</si>
  <si>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</si>
  <si>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</si>
  <si>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</si>
  <si>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</si>
  <si>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</si>
  <si>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</si>
  <si>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</si>
  <si>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</si>
  <si>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</si>
  <si>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</si>
  <si>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</si>
  <si>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</si>
  <si>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</si>
  <si>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</si>
  <si>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</si>
  <si>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</si>
  <si>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</si>
  <si>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</si>
  <si>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</si>
  <si>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</si>
  <si>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</si>
  <si>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</si>
  <si>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</si>
  <si>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</si>
  <si>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</si>
  <si>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</si>
  <si>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</si>
  <si>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</si>
  <si>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</si>
  <si>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</si>
  <si>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</si>
  <si>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</si>
  <si>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</si>
  <si>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</si>
  <si>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</si>
  <si>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</si>
  <si>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</si>
  <si>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</si>
  <si>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</si>
  <si>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</si>
  <si>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</si>
  <si>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</si>
  <si>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</si>
  <si>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</si>
  <si>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</si>
  <si>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</si>
  <si>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</si>
  <si>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</si>
  <si>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</si>
  <si>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</si>
  <si>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</si>
  <si>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</si>
  <si>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</si>
  <si>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</si>
  <si>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</si>
  <si>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</si>
  <si>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</si>
  <si>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</si>
  <si>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</si>
  <si>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</si>
  <si>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</si>
  <si>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</si>
  <si>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</si>
  <si>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</si>
  <si>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</si>
  <si>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</si>
  <si>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</si>
  <si>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</si>
  <si>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</si>
  <si>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</si>
  <si>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</si>
  <si>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</si>
  <si>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</si>
  <si>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</si>
  <si>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031900001.IB</t>
  </si>
  <si>
    <t>20190102</t>
  </si>
  <si>
    <t>19靖江港PPN001</t>
  </si>
  <si>
    <t>031800607.IB</t>
  </si>
  <si>
    <t>20181023</t>
  </si>
  <si>
    <t>18靖江港PPN001</t>
  </si>
  <si>
    <t>041800109.IB</t>
  </si>
  <si>
    <t>20180416</t>
  </si>
  <si>
    <t>18靖江港CP001</t>
  </si>
  <si>
    <t>031771031.IB</t>
  </si>
  <si>
    <t>20170922</t>
  </si>
  <si>
    <t>17靖江港PPN002</t>
  </si>
  <si>
    <t>031771018.IB</t>
  </si>
  <si>
    <t>20170628</t>
  </si>
  <si>
    <t>17靖江港PPN001</t>
  </si>
  <si>
    <t>041764004.IB</t>
  </si>
  <si>
    <t>20170418</t>
  </si>
  <si>
    <t>17靖江港CP001</t>
  </si>
  <si>
    <t>116263.SZ</t>
  </si>
  <si>
    <t>20160603</t>
  </si>
  <si>
    <t>16苏源01</t>
  </si>
  <si>
    <t>116264.SZ</t>
  </si>
  <si>
    <t>16苏源02</t>
  </si>
  <si>
    <t>116265.SZ</t>
  </si>
  <si>
    <t>16苏源03</t>
  </si>
  <si>
    <t>116266.SZ</t>
  </si>
  <si>
    <t>16苏源04</t>
  </si>
  <si>
    <t>116267.SZ</t>
  </si>
  <si>
    <t>16苏源05</t>
  </si>
  <si>
    <t>116268.SZ</t>
  </si>
  <si>
    <t>16苏源次</t>
  </si>
  <si>
    <t>136191.SH</t>
  </si>
  <si>
    <t>20160524</t>
  </si>
  <si>
    <t>16靖江港</t>
  </si>
  <si>
    <t>135455.SH</t>
  </si>
  <si>
    <t>20160429</t>
  </si>
  <si>
    <t>16靖北辰</t>
  </si>
  <si>
    <t>031671020.IB</t>
  </si>
  <si>
    <t>20160324</t>
  </si>
  <si>
    <t>16靖江港口PPN001</t>
  </si>
  <si>
    <t>135097.SH</t>
  </si>
  <si>
    <t>20160113</t>
  </si>
  <si>
    <t>16润新债</t>
  </si>
  <si>
    <t>031571066.IB</t>
  </si>
  <si>
    <t>20151117</t>
  </si>
  <si>
    <t>15靖江港PPN001</t>
  </si>
  <si>
    <t>124908.SH</t>
  </si>
  <si>
    <t>20140804</t>
  </si>
  <si>
    <t>PR靖江港</t>
  </si>
  <si>
    <t>1480437.IB</t>
  </si>
  <si>
    <t>14靖江港债</t>
  </si>
  <si>
    <t>历史主体评级</t>
  </si>
  <si>
    <t>发布日期</t>
  </si>
  <si>
    <t>主体资信级别</t>
  </si>
  <si>
    <t>评级展望</t>
  </si>
  <si>
    <t>评级机构</t>
  </si>
  <si>
    <t>20180907</t>
  </si>
  <si>
    <t>稳定</t>
  </si>
  <si>
    <t>联合资信评估有限公司</t>
  </si>
  <si>
    <t>20180724</t>
  </si>
  <si>
    <t>20180622</t>
  </si>
  <si>
    <t>联合信用评级有限公司</t>
  </si>
  <si>
    <t>20180615</t>
  </si>
  <si>
    <t>鹏元资信评估有限公司</t>
  </si>
  <si>
    <t>20180112</t>
  </si>
  <si>
    <t>20170724</t>
  </si>
  <si>
    <t>20170623</t>
  </si>
  <si>
    <t>20170622</t>
  </si>
  <si>
    <t>20160718</t>
  </si>
  <si>
    <t>20160629</t>
  </si>
  <si>
    <t>20160517</t>
  </si>
  <si>
    <t>20150604</t>
  </si>
  <si>
    <t>20140613</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</si>
  <si>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</si>
  <si>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</si>
  <si>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</si>
  <si>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</si>
  <si>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</si>
  <si>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</si>
  <si>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</si>
  <si>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</si>
  <si>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</si>
  <si>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</si>
  <si>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广西北部湾投资集团有限公司</t>
  </si>
  <si>
    <t>AA+稳定上调至AAA稳定</t>
  </si>
  <si>
    <t>中诚信国际信用评级有限责任公司</t>
  </si>
  <si>
    <t xml:space="preserve">公司控股合并，原广西壮族自治区人民政府国有资产监督管理委员会全资子公司广西新发展交通集团有限公司 。重组后，北部湾集团地位显著提升，在广西国资企业中的定位更加明确。业务板块更加多元化，构建集公路设计、建设、运营等业务板块为一体的完整产业链。公司财务杠杆有所下降，盈利能力显著提升。
</t>
  </si>
  <si>
    <t>中国南山开发(集团)股份有限公司</t>
  </si>
  <si>
    <t>公司是以物流业务和房地产开发为主业的大型国有企业，股东背景雄厚，经营稳健，主业突出。公司在物流行业具备丰富的运营管理经验和较强的竞争优势，近年来物流园区运营面积不断增加，出租率保持较高水平，部分运营成熟的物流园区采用历史成本记账，未来具备较大的增值空间。公司收入和利润规模持续增长。此外，赤湾片区丰富的土地资源有望为公司带来可观的中长期收益。
盈利能力良好；</t>
  </si>
  <si>
    <t>广西北部湾国际港务集团有限公司</t>
  </si>
  <si>
    <t>上海新世纪资信评估投资服务有限公司</t>
  </si>
  <si>
    <t>公司合并西江集团，战略地位得到显著提升。资产和业务规模显著扩大，综合实力得到提升。</t>
  </si>
  <si>
    <t>泰州口岸船舶有限公司</t>
  </si>
  <si>
    <t>AA-稳定上调至AA稳定</t>
  </si>
  <si>
    <t>大公国际资信评估有限公司</t>
  </si>
  <si>
    <t>唐山港口实业集团有限公司</t>
  </si>
  <si>
    <t>公司的抗风险能力极强。唐山港为京津冀地区重要港口之一，区位优势突出，集疏运条件优越，货物吞吐量及增速继续位居全国沿海港口前列。公司是唐山港京唐港区最重要的运营主体，并继续得到各级政府的有力支持；公司货物吞吐量保持较快增长，装卸堆存等港口主业带动公司营业收入和利润继续增长，盈利能力仍然很强；公司有息负债规模继续下降，且在总负债中占比较低，债务压力不大。</t>
  </si>
  <si>
    <t>近一年来同行业发债企业主体评级下调情况</t>
  </si>
  <si>
    <t>主体资信级别下调</t>
  </si>
  <si>
    <t>主体评级展望下调</t>
  </si>
  <si>
    <t>营口港务集团有限公司</t>
  </si>
  <si>
    <t>AA+稳定下调至AA+负面</t>
  </si>
  <si>
    <t>公司的抗风险能力很强。港口业是国民经济的重要基础产业，与国民经济以及进出口贸易关系紧密。2017年以来，国家对港口发展给予高度关注，随着“一带一路”战略逐步实施，港口行业未来发展面临新机遇。营口港作为我国东北第二大港以及沈阳经济区最近出海口，区位优势显著，集疏运条件良好。公司货物吞吐量继续增长，装卸货种较为丰富，中欧直达集装箱班列的开通推动集装箱业务快速发展。作为营口港最重要的运营主体，公司得到地方政府在政策以及资金方面的支持。同时，2017年，受辽宁省经济上升影响，公司营业收入有所增长，但毛利率继续下降，以财务费用为主的期间费用规模仍较高，影响公司盈利水平，营业利润继续亏损，净利润为负。公司在建项目实际投资金额超预算较多，后续资本支出情况存在一定的不确定性，成本控制有待加强。有息债务规模仍较大，在总负债中占比仍很高，债务压力仍较重, 对外担保金额仍较大，存在一定或有风险。预计未来1～2年，公司将继续发挥区位优势，货物吞吐量继续增长。</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</si>
  <si>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</si>
  <si>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</si>
  <si>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</si>
  <si>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</si>
  <si>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</si>
  <si>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</si>
  <si>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</si>
  <si>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</si>
  <si>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</si>
  <si>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</si>
  <si>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</si>
  <si>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</si>
  <si>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</si>
  <si>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</si>
  <si>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</si>
  <si>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</si>
  <si>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</si>
  <si>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</si>
  <si>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</si>
  <si>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</si>
  <si>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</si>
  <si>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</si>
  <si>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</si>
  <si>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</si>
  <si>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</si>
  <si>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靖江港口集团有限公司</t>
  </si>
  <si>
    <t>地方国有企业</t>
  </si>
  <si>
    <t>工业--运输--交通基础设施--海港与服务</t>
  </si>
  <si>
    <t>江苏省泰州市靖江市口岸联检服务中心大楼三楼</t>
  </si>
  <si>
    <t>公司是经靖江市人民政府国有资产监督管理办公室与靖江市新世纪投资有限公司共同出资设立的有限责任公司，实际控制人为靖江市人民政府国有资产监督管理办公室，是靖江港区唯一的国有控股建设和运营主体。公司自成立以来，一直承担着靖江港区的港口码头建设、经营和港区基础设施建设等职责，是靖江港区唯一的国有控股码头建设和运营主体。公司所建设的苏农港、新华港与和尚港等工程作为靖江港的重要组成部分，项目完工后靖江港区将实现建设亿吨大港的战略目标，对靖江市及其周边地区的经济发展发挥重要推动作用。</t>
  </si>
  <si>
    <t>靖江经济技术开发区管理委员会</t>
  </si>
  <si>
    <t>靖江市人民政府国有资产监督管理办公室</t>
  </si>
  <si>
    <t/>
  </si>
  <si>
    <t>A-1</t>
  </si>
  <si>
    <t>AA+</t>
  </si>
  <si>
    <t>武汉港务集团有限公司</t>
  </si>
  <si>
    <t>南京港(集团)有限公司</t>
  </si>
  <si>
    <t>唐山曹妃甸实业港务有限公司</t>
  </si>
  <si>
    <t>大连黄海港务有限公司</t>
  </si>
  <si>
    <t>江苏大丰海港控股集团有限公司</t>
  </si>
  <si>
    <t>张家港保税科技(集团)股份有限公司</t>
  </si>
  <si>
    <t>湛江港(集团)股份有限公司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</si>
</sst>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靖江港口集团有限公司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工业--运输--交通基础设施--海港与服务</v>
      </c>
      <c r="C5" s="120"/>
      <c r="D5" s="57" t="s">
        <v>5</v>
      </c>
      <c r="E5" s="119" t="str">
        <f>[1]!b_issuer_regaddress(A2)</f>
        <v>江苏省泰州市靖江市口岸联检服务中心大楼三楼</v>
      </c>
      <c r="F5" s="120"/>
      <c r="G5" s="120"/>
    </row>
    <row r="6" spans="1:20" s="17" customFormat="1" ht="81" customHeight="1" x14ac:dyDescent="0.25">
      <c r="A6" s="57" t="s">
        <v>6</v>
      </c>
      <c r="B6" s="121" t="str">
        <f>[1]!s_info_briefing(A2)</f>
        <v>公司是经靖江市人民政府国有资产监督管理办公室与靖江市新世纪投资有限公司共同出资设立的有限责任公司，实际控制人为靖江市人民政府国有资产监督管理办公室，是靖江港区唯一的国有控股建设和运营主体。公司自成立以来，一直承担着靖江港区的港口码头建设、经营和港区基础设施建设等职责，是靖江港区唯一的国有控股码头建设和运营主体。公司所建设的苏农港、新华港与和尚港等工程作为靖江港的重要组成部分，项目完工后靖江港区将实现建设亿吨大港的战略目标，对靖江市及其周边地区的经济发展发挥重要推动作用。</v>
      </c>
      <c r="C6" s="120"/>
      <c r="D6" s="120"/>
      <c r="E6" s="120"/>
      <c r="F6" s="120"/>
      <c r="G6" s="120"/>
    </row>
    <row r="7" spans="1:20" s="17" customFormat="1" x14ac:dyDescent="0.25">
      <c r="A7" s="59" t="s">
        <v>7</v>
      </c>
      <c r="B7" s="122" t="str">
        <f>[1]!b_issuer_shareholder(A2,"",1)</f>
        <v>靖江经济技术开发区管理委员会</v>
      </c>
      <c r="C7" s="120"/>
      <c r="D7" s="120"/>
      <c r="E7" s="120"/>
      <c r="F7" s="61">
        <f>[1]!b_issuer_propofshareholder($A$2,"",1)%</f>
        <v>0.65</v>
      </c>
      <c r="G7" s="60"/>
      <c r="H7" s="20" t="s">
        <v>8</v>
      </c>
      <c r="M7" s="24">
        <v>42004</v>
      </c>
      <c r="N7" s="24">
        <v>42369</v>
      </c>
      <c r="O7" s="24">
        <v>41639</v>
      </c>
      <c r="P7" s="62" t="s">
        <v>9</v>
      </c>
      <c r="Q7" s="62" t="s">
        <v>10</v>
      </c>
      <c r="R7" s="62" t="s">
        <v>11</v>
      </c>
    </row>
    <row r="8" spans="1:20" s="17" customFormat="1" x14ac:dyDescent="0.25">
      <c r="A8" s="59"/>
      <c r="B8" s="122" t="str">
        <f>[1]!b_issuer_shareholder(A2,"",2)</f>
        <v>靖江市人民政府国有资产监督管理办公室</v>
      </c>
      <c r="C8" s="120"/>
      <c r="D8" s="120"/>
      <c r="E8" s="120"/>
      <c r="F8" s="61">
        <f>[1]!b_issuer_propofshareholder($A$2,"",2)%</f>
        <v>0.35</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q19041709.IB</v>
      </c>
      <c r="K14" s="26"/>
      <c r="L14" s="27" t="str">
        <f>T15</f>
        <v>101464013.IB</v>
      </c>
      <c r="M14" s="27" t="str">
        <f>T16</f>
        <v>1282122.IB</v>
      </c>
      <c r="N14" s="27" t="str">
        <f>T17</f>
        <v>041359064.IB</v>
      </c>
      <c r="O14" s="27" t="str">
        <f>T18</f>
        <v>1480393.IB</v>
      </c>
      <c r="P14" s="27" t="str">
        <f>T19</f>
        <v>1180159.IB</v>
      </c>
      <c r="Q14" s="27" t="str">
        <f>T20</f>
        <v>122256.SH</v>
      </c>
      <c r="R14" s="5" t="str">
        <f>T21</f>
        <v>1282144.IB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靖江港口集团有限公司</v>
      </c>
      <c r="K15" s="138"/>
      <c r="L15" s="8" t="str">
        <f>[1]!b_info_issuer(L14)</f>
        <v>武汉港务集团有限公司</v>
      </c>
      <c r="M15" s="8" t="str">
        <f>[1]!b_info_issuer(M14)</f>
        <v>南京港(集团)有限公司</v>
      </c>
      <c r="N15" s="8" t="str">
        <f>[1]!b_info_issuer(N14)</f>
        <v>唐山曹妃甸实业港务有限公司</v>
      </c>
      <c r="O15" s="8" t="str">
        <f>[1]!b_info_issuer(O14)</f>
        <v>大连黄海港务有限公司</v>
      </c>
      <c r="P15" s="8" t="str">
        <f>[1]!b_info_issuer(P14)</f>
        <v>江苏大丰海港控股集团有限公司</v>
      </c>
      <c r="Q15" s="8" t="str">
        <f>[1]!b_info_issuer(Q14)</f>
        <v>张家港保税科技(集团)股份有限公司</v>
      </c>
      <c r="R15" s="8" t="str">
        <f>[1]!b_info_issuer(R14)</f>
        <v>湛江港(集团)股份有限公司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121.4058073241</v>
      </c>
      <c r="K19" s="124"/>
      <c r="L19" s="68">
        <f>[1]!b_stm07_bs(L14,74,L13,1)/100000000</f>
        <v>45.485755424700002</v>
      </c>
      <c r="M19" s="68">
        <f>[1]!b_stm07_bs(M14,74,M13,1)/100000000</f>
        <v>118.0759539005</v>
      </c>
      <c r="N19" s="68">
        <f>[1]!b_stm07_bs(N14,74,N13,1)/100000000</f>
        <v>72.0267504901</v>
      </c>
      <c r="O19" s="68">
        <f>[1]!b_stm07_bs(O14,74,O13,1)/100000000</f>
        <v>164.26693049510001</v>
      </c>
      <c r="P19" s="68">
        <f>[1]!b_stm07_bs(P14,74,P13,1)/100000000</f>
        <v>287.99501723380001</v>
      </c>
      <c r="Q19" s="68">
        <f>[1]!b_stm07_bs(Q14,74,Q13,1)/100000000</f>
        <v>33.493476864599998</v>
      </c>
      <c r="R19" s="68">
        <f>[1]!b_stm07_bs(R14,74,R13,1)/100000000</f>
        <v>143.3947174395</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0.46130499999999997</v>
      </c>
      <c r="K20" s="124"/>
      <c r="L20" s="10">
        <f>[1]!s_fa_debttoassets(L14,L13)/100</f>
        <v>0.49906399999999995</v>
      </c>
      <c r="M20" s="10">
        <f>[1]!s_fa_debttoassets(M14,M13)/100</f>
        <v>0.60709299999999999</v>
      </c>
      <c r="N20" s="10">
        <f>[1]!s_fa_debttoassets(N14,N13)/100</f>
        <v>0.56703999999999999</v>
      </c>
      <c r="O20" s="10">
        <f>[1]!s_fa_debttoassets(O14,O13)/100</f>
        <v>0.51537299999999997</v>
      </c>
      <c r="P20" s="10">
        <f>[1]!s_fa_debttoassets(P14,P13)/100</f>
        <v>0.72359399999999996</v>
      </c>
      <c r="Q20" s="10">
        <f>[1]!s_fa_debttoassets(Q14,Q13)/100</f>
        <v>0.379469</v>
      </c>
      <c r="R20" s="10">
        <f>[1]!s_fa_debttoassets(R14,R13)/100</f>
        <v>0.59358699999999998</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1.6355</v>
      </c>
      <c r="K21" s="124"/>
      <c r="L21" s="68">
        <f>[1]!s_fa_current(L14,L13)</f>
        <v>1.4976</v>
      </c>
      <c r="M21" s="68">
        <f>[1]!s_fa_current(M14,M13)</f>
        <v>0.80430000000000001</v>
      </c>
      <c r="N21" s="68">
        <f>[1]!s_fa_current(N14,N13)</f>
        <v>1.4389000000000001</v>
      </c>
      <c r="O21" s="68">
        <f>[1]!s_fa_current(O14,O13)</f>
        <v>2.4051</v>
      </c>
      <c r="P21" s="68">
        <f>[1]!s_fa_current(P14,P13)</f>
        <v>1.2718</v>
      </c>
      <c r="Q21" s="68">
        <f>[1]!s_fa_current(Q14,Q13)</f>
        <v>1.8123</v>
      </c>
      <c r="R21" s="68">
        <f>[1]!s_fa_current(R14,R13)</f>
        <v>0.21010000000000001</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0.79815899287205683</v>
      </c>
      <c r="K22" s="124"/>
      <c r="L22" s="66">
        <f>(公式页!L96+公式页!L97+公式页!L98+公式页!L99+公式页!L100+公式页!L101)/公式页!L103</f>
        <v>0.44972636697260054</v>
      </c>
      <c r="M22" s="66">
        <f t="shared" ref="M22:R22" si="0">(M96+M97+M98+M99+M100+M101)/M103</f>
        <v>0.8155150563303637</v>
      </c>
      <c r="N22" s="66">
        <f t="shared" si="0"/>
        <v>1.1379716637509163</v>
      </c>
      <c r="O22" s="66">
        <f t="shared" si="0"/>
        <v>0.58482059888349858</v>
      </c>
      <c r="P22" s="66">
        <f t="shared" si="0"/>
        <v>1.5016341383383771</v>
      </c>
      <c r="Q22" s="66">
        <f t="shared" si="0"/>
        <v>0.41580496419544211</v>
      </c>
      <c r="R22" s="66">
        <f t="shared" si="0"/>
        <v>1.0276169794822796</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9.0200000000000002E-2</v>
      </c>
      <c r="K23" s="124"/>
      <c r="L23" s="68">
        <f>[1]!s_fa_ebitdatodebt(L14,L13)</f>
        <v>0.1056</v>
      </c>
      <c r="M23" s="68">
        <f>[1]!s_fa_ebitdatodebt(M14,M13)</f>
        <v>7.2400000000000006E-2</v>
      </c>
      <c r="N23" s="68">
        <f>[1]!s_fa_ebitdatodebt(N14,N13)</f>
        <v>0.22439999999999999</v>
      </c>
      <c r="O23" s="68">
        <f>[1]!s_fa_ebitdatodebt(O14,O13)</f>
        <v>7.6600000000000001E-2</v>
      </c>
      <c r="P23" s="68">
        <f>[1]!s_fa_ebitdatodebt(P14,P13)</f>
        <v>6.3600000000000004E-2</v>
      </c>
      <c r="Q23" s="68">
        <f>[1]!s_fa_ebitdatodebt(Q14,Q13)</f>
        <v>-4.7800000000000002E-2</v>
      </c>
      <c r="R23" s="68">
        <f>[1]!s_fa_ebitdatodebt(R14,R13)</f>
        <v>0.1002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22.372407510199999</v>
      </c>
      <c r="K24" s="124"/>
      <c r="L24" s="68">
        <f>[1]!b_stm07_is(L14,9,L13,1)/100000000</f>
        <v>17.313932619599999</v>
      </c>
      <c r="M24" s="68">
        <f>[1]!b_stm07_is(M14,9,M13,1)/100000000</f>
        <v>41.147879595700005</v>
      </c>
      <c r="N24" s="68">
        <f>[1]!b_stm07_is(N14,9,N13,1)/100000000</f>
        <v>16.983410058400001</v>
      </c>
      <c r="O24" s="68">
        <f>[1]!b_stm07_is(O14,9,O13,1)/100000000</f>
        <v>8.5287530007000001</v>
      </c>
      <c r="P24" s="68">
        <f>[1]!b_stm07_is(P14,9,P13,1)/100000000</f>
        <v>72.823636593700002</v>
      </c>
      <c r="Q24" s="68">
        <f>[1]!b_stm07_is(Q14,9,Q13,1)/100000000</f>
        <v>10.4854066776</v>
      </c>
      <c r="R24" s="68">
        <f>[1]!b_stm07_is(R14,9,R13,1)/100000000</f>
        <v>24.346376333400002</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1.1141000000000001</v>
      </c>
      <c r="K25" s="124"/>
      <c r="L25" s="11">
        <f>[1]!s_fa_salescashintoor(L14,L13)%</f>
        <v>1.1186</v>
      </c>
      <c r="M25" s="11">
        <f>[1]!s_fa_salescashintoor(M14,M13)%</f>
        <v>0.86370000000000002</v>
      </c>
      <c r="N25" s="11">
        <f>[1]!s_fa_salescashintoor(N14,N13)%</f>
        <v>1.1180000000000001</v>
      </c>
      <c r="O25" s="11">
        <f>[1]!s_fa_salescashintoor(O14,O13)%</f>
        <v>1.4041999999999999</v>
      </c>
      <c r="P25" s="11">
        <f>[1]!s_fa_salescashintoor(P14,P13)%</f>
        <v>1.0442</v>
      </c>
      <c r="Q25" s="11">
        <f>[1]!s_fa_salescashintoor(Q14,Q13)%</f>
        <v>1.1359999999999999</v>
      </c>
      <c r="R25" s="11">
        <f>[1]!s_fa_salescashintoor(R14,R13)%</f>
        <v>1.0042</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0.127358</v>
      </c>
      <c r="K26" s="124"/>
      <c r="L26" s="11">
        <f>[1]!s_fa_grossprofitmargin(L14,L13)%</f>
        <v>1.8332999999999999E-2</v>
      </c>
      <c r="M26" s="11">
        <f>[1]!s_fa_grossprofitmargin(M14,M13)%</f>
        <v>0.155194</v>
      </c>
      <c r="N26" s="11">
        <f>[1]!s_fa_grossprofitmargin(N14,N13)%</f>
        <v>0.43341400000000002</v>
      </c>
      <c r="O26" s="11">
        <f>[1]!s_fa_grossprofitmargin(O14,O13)%</f>
        <v>0.36427500000000002</v>
      </c>
      <c r="P26" s="11">
        <f>[1]!s_fa_grossprofitmargin(P14,P13)%</f>
        <v>3.5038E-2</v>
      </c>
      <c r="Q26" s="11">
        <f>[1]!s_fa_grossprofitmargin(Q14,Q13)%</f>
        <v>0.17388200000000001</v>
      </c>
      <c r="R26" s="11">
        <f>[1]!s_fa_grossprofitmargin(R14,R13)%</f>
        <v>0.25833200000000001</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1.6409548333000001</v>
      </c>
      <c r="K27" s="124"/>
      <c r="L27" s="69">
        <f>[1]!b_stm07_is(L14,60,L13,1)/100000000</f>
        <v>0.84438884260000002</v>
      </c>
      <c r="M27" s="69">
        <f>[1]!b_stm07_is(M14,60,M13,1)/100000000</f>
        <v>0.99182809750000001</v>
      </c>
      <c r="N27" s="69">
        <f>[1]!b_stm07_is(N14,60,N13,1)/100000000</f>
        <v>3.8194097607999997</v>
      </c>
      <c r="O27" s="69">
        <f>[1]!b_stm07_is(O14,60,O13,1)/100000000</f>
        <v>1.0718871537999999</v>
      </c>
      <c r="P27" s="69">
        <f>[1]!b_stm07_is(P14,60,P13,1)/100000000</f>
        <v>1.6306632115000002</v>
      </c>
      <c r="Q27" s="69">
        <f>[1]!b_stm07_is(Q14,60,Q13,1)/100000000</f>
        <v>-2.0870275234999998</v>
      </c>
      <c r="R27" s="69">
        <f>[1]!b_stm07_is(R14,60,R13,1)/100000000</f>
        <v>0.35552190189999999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2.6841E-2</v>
      </c>
      <c r="K28" s="124"/>
      <c r="L28" s="10">
        <f>[1]!s_fa_roe(L14,L13)%</f>
        <v>3.3277000000000001E-2</v>
      </c>
      <c r="M28" s="10">
        <f>[1]!s_fa_roe(M14,M13)%</f>
        <v>1.0224E-2</v>
      </c>
      <c r="N28" s="10">
        <f>[1]!s_fa_roe(N14,N13)%</f>
        <v>0.12656800000000001</v>
      </c>
      <c r="O28" s="10">
        <f>[1]!s_fa_roe(O14,O13)%</f>
        <v>1.3555999999999999E-2</v>
      </c>
      <c r="P28" s="10">
        <f>[1]!s_fa_roe(P14,P13)%</f>
        <v>2.5085000000000003E-2</v>
      </c>
      <c r="Q28" s="10">
        <f>[1]!s_fa_roe(Q14,Q13)%</f>
        <v>-0.11918799999999999</v>
      </c>
      <c r="R28" s="10">
        <f>[1]!s_fa_roe(R14,R13)%</f>
        <v>-1.5592E-2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7.7477555816999999</v>
      </c>
      <c r="K29" s="124"/>
      <c r="L29" s="69">
        <f>[1]!b_stm07_cs(L14,39,L13,1)/100000000</f>
        <v>-0.92443761859999996</v>
      </c>
      <c r="M29" s="69">
        <f>[1]!b_stm07_cs(M14,39,M13,1)/100000000</f>
        <v>1.3023077920000001</v>
      </c>
      <c r="N29" s="69">
        <f>[1]!b_stm07_cs(N14,39,N13,1)/100000000</f>
        <v>10.3573447181</v>
      </c>
      <c r="O29" s="69">
        <f>[1]!b_stm07_cs(O14,39,O13,1)/100000000</f>
        <v>12.0598991996</v>
      </c>
      <c r="P29" s="69">
        <f>[1]!b_stm07_cs(P14,39,P13,1)/100000000</f>
        <v>2.6304969384999999</v>
      </c>
      <c r="Q29" s="69">
        <f>[1]!b_stm07_cs(Q14,39,Q13,1)/100000000</f>
        <v>0.67226875780000006</v>
      </c>
      <c r="R29" s="69">
        <f>[1]!b_stm07_cs(R14,39,R13,1)/100000000</f>
        <v>7.2871881623000005</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628000000</v>
      </c>
      <c r="K96" s="71"/>
      <c r="L96" s="71">
        <f>[1]!b_stm07_bs(L14,75,L13,1)</f>
        <v>164430460.03999999</v>
      </c>
      <c r="M96" s="71">
        <f>[1]!b_stm07_bs(M14,75,M13,1)</f>
        <v>1627039603.05</v>
      </c>
      <c r="N96" s="71">
        <f>[1]!b_stm07_bs(N14,75,N13,1)</f>
        <v>700000000</v>
      </c>
      <c r="O96" s="71">
        <f>[1]!b_stm07_bs(O14,75,O13,1)</f>
        <v>295000000</v>
      </c>
      <c r="P96" s="71">
        <f>[1]!b_stm07_bs(P14,75,P13,1)</f>
        <v>4844840684.5500002</v>
      </c>
      <c r="Q96" s="71">
        <f>[1]!b_stm07_bs(Q14,75,Q13,1)</f>
        <v>89780753.349999994</v>
      </c>
      <c r="R96" s="71">
        <f>[1]!b_stm07_bs(R14,75,R13,1)</f>
        <v>2564710000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102245971.29000001</v>
      </c>
      <c r="K97" s="71"/>
      <c r="L97" s="71">
        <f>[1]!b_stm07_bs(L14,82,L13,1)</f>
        <v>6214422.6900000004</v>
      </c>
      <c r="M97" s="71">
        <f>[1]!b_stm07_bs(M14,82,M13,1)</f>
        <v>25560952.550000001</v>
      </c>
      <c r="N97" s="71">
        <f>[1]!b_stm07_bs(N14,82,N13,1)</f>
        <v>22819999.489999998</v>
      </c>
      <c r="O97" s="71">
        <f>[1]!b_stm07_bs(O14,82,O13,1)</f>
        <v>38308526.5</v>
      </c>
      <c r="P97" s="71">
        <f>[1]!b_stm07_bs(P14,82,P13,1)</f>
        <v>200134608.21000001</v>
      </c>
      <c r="Q97" s="71">
        <f>[1]!b_stm07_bs(Q14,82,Q13,1)</f>
        <v>12452016.65</v>
      </c>
      <c r="R97" s="71">
        <f>[1]!b_stm07_bs(R14,82,R13,1)</f>
        <v>7393806.5099999998</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1183505382.71</v>
      </c>
      <c r="K98" s="71"/>
      <c r="L98" s="71">
        <f>[1]!b_stm07_bs(L14,88,L13,1)</f>
        <v>196166516.47</v>
      </c>
      <c r="M98" s="71">
        <f>[1]!b_stm07_bs(M14,88,M13,1)</f>
        <v>942985826</v>
      </c>
      <c r="N98" s="71">
        <f>[1]!b_stm07_bs(N14,88,N13,1)</f>
        <v>648580000</v>
      </c>
      <c r="O98" s="71">
        <f>[1]!b_stm07_bs(O14,88,O13,1)</f>
        <v>872072605.82000005</v>
      </c>
      <c r="P98" s="71">
        <f>[1]!b_stm07_bs(P14,88,P13,1)</f>
        <v>1667286821.48</v>
      </c>
      <c r="Q98" s="71">
        <f>[1]!b_stm07_bs(Q14,88,Q13,1)</f>
        <v>264906300</v>
      </c>
      <c r="R98" s="71">
        <f>[1]!b_stm07_bs(R14,88,R13,1)</f>
        <v>2014617715.8499999</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940000000</v>
      </c>
      <c r="K100" s="71"/>
      <c r="L100" s="71">
        <f>[1]!b_stm07_bs(L14,94,L13,1)</f>
        <v>457909710</v>
      </c>
      <c r="M100" s="71">
        <f>[1]!b_stm07_bs(M14,94,M13,1)</f>
        <v>1187826592.8299999</v>
      </c>
      <c r="N100" s="71">
        <f>[1]!b_stm07_bs(N14,94,N13,1)</f>
        <v>1977330000</v>
      </c>
      <c r="O100" s="71">
        <f>[1]!b_stm07_bs(O14,94,O13,1)</f>
        <v>2740650000</v>
      </c>
      <c r="P100" s="71">
        <f>[1]!b_stm07_bs(P14,94,P13,1)</f>
        <v>2159790000</v>
      </c>
      <c r="Q100" s="71">
        <f>[1]!b_stm07_bs(Q14,94,Q13,1)</f>
        <v>150000000</v>
      </c>
      <c r="R100" s="71">
        <f>[1]!b_stm07_bs(R14,94,R13,1)</f>
        <v>1401968800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2366268406.1599998</v>
      </c>
      <c r="K101" s="71"/>
      <c r="L101" s="71">
        <f>[1]!b_stm07_bs(L14,95,L13,1)</f>
        <v>200000000</v>
      </c>
      <c r="M101" s="71">
        <f>[1]!b_stm07_bs(M14,95,M13,1)</f>
        <v>0</v>
      </c>
      <c r="N101" s="71">
        <f>[1]!b_stm07_bs(N14,95,N13,1)</f>
        <v>200000000</v>
      </c>
      <c r="O101" s="71">
        <f>[1]!b_stm07_bs(O14,95,O13,1)</f>
        <v>709618833.33000004</v>
      </c>
      <c r="P101" s="71">
        <f>[1]!b_stm07_bs(P14,95,P13,1)</f>
        <v>3081475316.0799999</v>
      </c>
      <c r="Q101" s="71">
        <f>[1]!b_stm07_bs(Q14,95,Q13,1)</f>
        <v>347058600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6540075106.3100004</v>
      </c>
      <c r="K103" s="71"/>
      <c r="L103" s="71">
        <f>[1]!b_stm07_bs(L14,141,L13,1)</f>
        <v>2278543542.1500001</v>
      </c>
      <c r="M103" s="71">
        <f>[1]!b_stm07_bs(M14,141,M13,1)</f>
        <v>4639292610.3100004</v>
      </c>
      <c r="N103" s="71">
        <f>[1]!b_stm07_bs(N14,141,N13,1)</f>
        <v>3118469565.2199998</v>
      </c>
      <c r="O103" s="71">
        <f>[1]!b_stm07_bs(O14,141,O13,1)</f>
        <v>7960817342.1700001</v>
      </c>
      <c r="P103" s="71">
        <f>[1]!b_stm07_bs(P14,141,P13,1)</f>
        <v>7960346082.3999996</v>
      </c>
      <c r="Q103" s="71">
        <f>[1]!b_stm07_bs(Q14,141,Q13,1)</f>
        <v>2078372661.26</v>
      </c>
      <c r="R103" s="71">
        <f>[1]!b_stm07_bs(R14,141,R13,1)</f>
        <v>5827745591.9200001</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q19041709.IB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0.46130499999999997</v>
      </c>
      <c r="C109" s="54" t="s">
        <v>36</v>
      </c>
      <c r="D109" s="72">
        <f>[1]!s_fa_current(A2,B2)</f>
        <v>1.6355</v>
      </c>
      <c r="E109" s="54" t="s">
        <v>41</v>
      </c>
      <c r="F109" s="73">
        <f>[1]!s_fa_salescashintoor(A2,B2)/100</f>
        <v>1.1141000000000001</v>
      </c>
      <c r="G109" s="54" t="s">
        <v>42</v>
      </c>
      <c r="H109" s="12">
        <f>S109/100</f>
        <v>0.127358</v>
      </c>
      <c r="I109" s="54"/>
      <c r="J109" s="16"/>
      <c r="K109" s="25"/>
      <c r="L109" s="34" t="s">
        <v>61</v>
      </c>
      <c r="M109" s="74">
        <f>[1]!s_fa_debttoassets(A2,B2)</f>
        <v>46.130499999999998</v>
      </c>
      <c r="N109" s="54" t="s">
        <v>36</v>
      </c>
      <c r="O109" s="35"/>
      <c r="P109" s="54" t="s">
        <v>41</v>
      </c>
      <c r="Q109" s="35"/>
      <c r="R109" s="54" t="s">
        <v>42</v>
      </c>
      <c r="S109" s="75">
        <f>[1]!s_fa_grossprofitmargin(A2,B2)</f>
        <v>12.735799999999999</v>
      </c>
    </row>
    <row r="110" spans="1:19" ht="15.75" customHeight="1" x14ac:dyDescent="0.25">
      <c r="A110" s="54" t="s">
        <v>62</v>
      </c>
      <c r="B110" s="12">
        <f>M110/100</f>
        <v>0.309062</v>
      </c>
      <c r="C110" s="54" t="s">
        <v>63</v>
      </c>
      <c r="D110" s="73">
        <f>[1]!s_fa_quick(A2,B2)</f>
        <v>0.13439999999999999</v>
      </c>
      <c r="E110" s="54" t="s">
        <v>64</v>
      </c>
      <c r="F110" s="72">
        <f>[1]!s_fa_arturn(A2,B2)</f>
        <v>181.1275</v>
      </c>
      <c r="G110" s="54" t="s">
        <v>65</v>
      </c>
      <c r="H110" s="12">
        <f>S110/100</f>
        <v>7.3348999999999998E-2</v>
      </c>
      <c r="I110" s="54"/>
      <c r="J110" s="16"/>
      <c r="L110" s="54" t="s">
        <v>62</v>
      </c>
      <c r="M110" s="74">
        <f>[1]!s_fa_catoassets(A2,B2)</f>
        <v>30.906199999999998</v>
      </c>
      <c r="N110" s="54" t="s">
        <v>63</v>
      </c>
      <c r="O110" s="35"/>
      <c r="P110" s="54" t="s">
        <v>64</v>
      </c>
      <c r="Q110" s="73"/>
      <c r="R110" s="54" t="s">
        <v>65</v>
      </c>
      <c r="S110" s="75">
        <f>[1]!s_fa_optogr(A2,B2)</f>
        <v>7.3349000000000002</v>
      </c>
    </row>
    <row r="111" spans="1:19" ht="15" customHeight="1" x14ac:dyDescent="0.25">
      <c r="A111" s="54" t="s">
        <v>66</v>
      </c>
      <c r="B111" s="12">
        <f>M111/100</f>
        <v>0.40964799999999996</v>
      </c>
      <c r="C111" s="54" t="s">
        <v>39</v>
      </c>
      <c r="D111" s="73">
        <f>[1]!s_fa_ebitdatodebt(A2,B2)</f>
        <v>9.0200000000000002E-2</v>
      </c>
      <c r="E111" s="54" t="s">
        <v>67</v>
      </c>
      <c r="F111" s="72">
        <f>[1]!s_fa_invturn(A2,B2)</f>
        <v>0.5736</v>
      </c>
      <c r="G111" s="54" t="s">
        <v>45</v>
      </c>
      <c r="H111" s="12">
        <f>S111/100</f>
        <v>2.6841E-2</v>
      </c>
      <c r="I111" s="54"/>
      <c r="J111" s="16"/>
      <c r="L111" s="54" t="s">
        <v>66</v>
      </c>
      <c r="M111" s="74">
        <f>[1]!s_fa_currentdebttodebt(A2,B2)</f>
        <v>40.964799999999997</v>
      </c>
      <c r="N111" s="54" t="s">
        <v>39</v>
      </c>
      <c r="O111" s="35"/>
      <c r="P111" s="54" t="s">
        <v>67</v>
      </c>
      <c r="Q111" s="35"/>
      <c r="R111" s="54" t="s">
        <v>45</v>
      </c>
      <c r="S111" s="75">
        <f>[1]!s_fa_roe(A2,B2)</f>
        <v>2.6840999999999999</v>
      </c>
    </row>
    <row r="112" spans="1:19" ht="14.25" customHeight="1" x14ac:dyDescent="0.25">
      <c r="A112" s="54" t="s">
        <v>38</v>
      </c>
      <c r="B112" s="76">
        <f>(M116+M117+M118+M119+M120+M121)/M123</f>
        <v>0.79815899287205683</v>
      </c>
      <c r="C112" s="54" t="s">
        <v>68</v>
      </c>
      <c r="D112" s="73">
        <f>[1]!s_fa_ebittointerest(A2,B2)</f>
        <v>1.6174999999999999</v>
      </c>
      <c r="E112" s="54" t="s">
        <v>69</v>
      </c>
      <c r="F112" s="72">
        <f>[1]!s_fa_caturn(A2,B2)</f>
        <v>0.55420000000000003</v>
      </c>
      <c r="G112" s="54" t="s">
        <v>70</v>
      </c>
      <c r="H112" s="12">
        <f>S112/100</f>
        <v>3.7305000000000005E-2</v>
      </c>
      <c r="I112" s="54"/>
      <c r="J112" s="16"/>
      <c r="L112" s="54" t="s">
        <v>38</v>
      </c>
      <c r="M112" s="77"/>
      <c r="N112" s="54" t="s">
        <v>68</v>
      </c>
      <c r="O112" s="35"/>
      <c r="P112" s="54" t="s">
        <v>69</v>
      </c>
      <c r="Q112" s="35"/>
      <c r="R112" s="54" t="s">
        <v>70</v>
      </c>
      <c r="S112" s="75">
        <f>[1]!s_fa_roa2(A2,B2)</f>
        <v>3.7305000000000001</v>
      </c>
    </row>
    <row r="113" spans="1:21" x14ac:dyDescent="0.25">
      <c r="A113" s="30"/>
      <c r="B113" s="31"/>
      <c r="C113" s="30"/>
      <c r="D113" s="32"/>
      <c r="E113" s="30" t="s">
        <v>71</v>
      </c>
      <c r="F113" s="78">
        <f>[1]!s_fa_dupont_faturnover(A2,B2)</f>
        <v>0.19420000000000001</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628000000</v>
      </c>
    </row>
    <row r="117" spans="1:21" ht="14.25" customHeight="1" x14ac:dyDescent="0.25">
      <c r="A117" s="54" t="s">
        <v>77</v>
      </c>
      <c r="B117" s="73">
        <f t="shared" ref="B117:B131" si="1">M127/100000000</f>
        <v>2.8454625187000002</v>
      </c>
      <c r="C117" s="54" t="s">
        <v>78</v>
      </c>
      <c r="D117" s="76">
        <f t="shared" ref="D117:D125" si="2">O127/100000000</f>
        <v>22.372407510199999</v>
      </c>
      <c r="E117" s="131" t="s">
        <v>79</v>
      </c>
      <c r="F117" s="124"/>
      <c r="G117" s="124"/>
      <c r="H117" s="132">
        <f t="shared" ref="H117:H131" si="3">S127/100000000</f>
        <v>24.924293303800003</v>
      </c>
      <c r="I117" s="124"/>
      <c r="J117" s="124"/>
      <c r="L117" s="17" t="s">
        <v>48</v>
      </c>
      <c r="M117" s="71">
        <f>[1]!b_stm07_bs(K107,82,L107,1)</f>
        <v>102245971.29000001</v>
      </c>
    </row>
    <row r="118" spans="1:21" ht="14.25" customHeight="1" x14ac:dyDescent="0.25">
      <c r="A118" s="54" t="s">
        <v>80</v>
      </c>
      <c r="B118" s="73">
        <f t="shared" si="1"/>
        <v>0.10503931550000001</v>
      </c>
      <c r="C118" s="54" t="s">
        <v>81</v>
      </c>
      <c r="D118" s="76">
        <f t="shared" si="2"/>
        <v>23.1424073869</v>
      </c>
      <c r="E118" s="131" t="s">
        <v>82</v>
      </c>
      <c r="F118" s="124"/>
      <c r="G118" s="124"/>
      <c r="H118" s="132">
        <f t="shared" si="3"/>
        <v>6.9407177870000005</v>
      </c>
      <c r="I118" s="124"/>
      <c r="J118" s="124"/>
      <c r="L118" s="17" t="s">
        <v>49</v>
      </c>
      <c r="M118" s="71">
        <f>[1]!b_stm07_bs(K107,88,L107,1)</f>
        <v>1183505382.71</v>
      </c>
    </row>
    <row r="119" spans="1:21" ht="14.25" customHeight="1" x14ac:dyDescent="0.25">
      <c r="A119" s="54" t="s">
        <v>83</v>
      </c>
      <c r="B119" s="73">
        <f t="shared" si="1"/>
        <v>0.11312777140000001</v>
      </c>
      <c r="C119" s="54" t="s">
        <v>84</v>
      </c>
      <c r="D119" s="76">
        <f t="shared" si="2"/>
        <v>19.523100234499999</v>
      </c>
      <c r="E119" s="131" t="s">
        <v>85</v>
      </c>
      <c r="F119" s="124"/>
      <c r="G119" s="124"/>
      <c r="H119" s="133">
        <f t="shared" si="3"/>
        <v>31.865011090799999</v>
      </c>
      <c r="I119" s="124"/>
      <c r="J119" s="124"/>
      <c r="L119" s="17" t="s">
        <v>50</v>
      </c>
      <c r="M119" s="71">
        <f>[1]!b_stm07_bs(K107,147,L107,1)</f>
        <v>0</v>
      </c>
    </row>
    <row r="120" spans="1:21" ht="14.25" customHeight="1" x14ac:dyDescent="0.25">
      <c r="A120" s="54" t="s">
        <v>86</v>
      </c>
      <c r="B120" s="73">
        <f t="shared" si="1"/>
        <v>4.2808242358999999</v>
      </c>
      <c r="C120" s="54" t="s">
        <v>87</v>
      </c>
      <c r="D120" s="76">
        <f t="shared" si="2"/>
        <v>3.7926964799999997E-2</v>
      </c>
      <c r="E120" s="131" t="s">
        <v>88</v>
      </c>
      <c r="F120" s="124"/>
      <c r="G120" s="124"/>
      <c r="H120" s="132">
        <f t="shared" si="3"/>
        <v>21.479549110500002</v>
      </c>
      <c r="I120" s="124"/>
      <c r="J120" s="124"/>
      <c r="L120" s="17" t="s">
        <v>51</v>
      </c>
      <c r="M120" s="71">
        <f>[1]!b_stm07_bs(K107,94,L107,1)</f>
        <v>940000000</v>
      </c>
    </row>
    <row r="121" spans="1:21" ht="14.25" customHeight="1" x14ac:dyDescent="0.25">
      <c r="A121" s="54" t="s">
        <v>89</v>
      </c>
      <c r="B121" s="73">
        <f t="shared" si="1"/>
        <v>56.927558232099997</v>
      </c>
      <c r="C121" s="54" t="s">
        <v>90</v>
      </c>
      <c r="D121" s="76">
        <f t="shared" si="2"/>
        <v>0.69309342930000006</v>
      </c>
      <c r="E121" s="131" t="s">
        <v>91</v>
      </c>
      <c r="F121" s="124"/>
      <c r="G121" s="124"/>
      <c r="H121" s="132">
        <f t="shared" si="3"/>
        <v>2.3490060676</v>
      </c>
      <c r="I121" s="124"/>
      <c r="J121" s="124"/>
      <c r="L121" s="17" t="s">
        <v>52</v>
      </c>
      <c r="M121" s="71">
        <f>[1]!b_stm07_bs(K107,95,L107,1)</f>
        <v>2366268406.1599998</v>
      </c>
    </row>
    <row r="122" spans="1:21" ht="14.25" customHeight="1" x14ac:dyDescent="0.25">
      <c r="A122" s="54" t="s">
        <v>92</v>
      </c>
      <c r="B122" s="73">
        <f t="shared" si="1"/>
        <v>19.473138045700001</v>
      </c>
      <c r="C122" s="54" t="s">
        <v>93</v>
      </c>
      <c r="D122" s="76">
        <f t="shared" si="2"/>
        <v>2.7310207042000001</v>
      </c>
      <c r="E122" s="131" t="s">
        <v>94</v>
      </c>
      <c r="F122" s="124"/>
      <c r="G122" s="124"/>
      <c r="H122" s="133">
        <f t="shared" si="3"/>
        <v>24.117255509099998</v>
      </c>
      <c r="I122" s="124"/>
      <c r="J122" s="124"/>
      <c r="L122" s="17"/>
      <c r="M122" s="17"/>
    </row>
    <row r="123" spans="1:21" ht="14.25" customHeight="1" x14ac:dyDescent="0.25">
      <c r="A123" s="54" t="s">
        <v>95</v>
      </c>
      <c r="B123" s="79">
        <f t="shared" si="1"/>
        <v>121.4058073241</v>
      </c>
      <c r="C123" s="54" t="s">
        <v>96</v>
      </c>
      <c r="D123" s="76">
        <f t="shared" si="2"/>
        <v>1.6410001233000002</v>
      </c>
      <c r="E123" s="131" t="s">
        <v>97</v>
      </c>
      <c r="F123" s="124"/>
      <c r="G123" s="124"/>
      <c r="H123" s="133">
        <f t="shared" si="3"/>
        <v>7.7477555816999999</v>
      </c>
      <c r="I123" s="124"/>
      <c r="J123" s="124"/>
      <c r="L123" s="17" t="s">
        <v>53</v>
      </c>
      <c r="M123" s="71">
        <f>[1]!b_stm07_bs(K107,141,L107,1)</f>
        <v>6540075106.3100004</v>
      </c>
    </row>
    <row r="124" spans="1:21" ht="14.25" customHeight="1" x14ac:dyDescent="0.25">
      <c r="A124" s="54" t="s">
        <v>98</v>
      </c>
      <c r="B124" s="73">
        <f t="shared" si="1"/>
        <v>6.28</v>
      </c>
      <c r="C124" s="54" t="s">
        <v>99</v>
      </c>
      <c r="D124" s="76">
        <f t="shared" si="2"/>
        <v>1.6409548333000001</v>
      </c>
      <c r="E124" s="131" t="s">
        <v>100</v>
      </c>
      <c r="F124" s="124"/>
      <c r="G124" s="124"/>
      <c r="H124" s="133">
        <f t="shared" si="3"/>
        <v>-15.903459561300002</v>
      </c>
      <c r="I124" s="124"/>
      <c r="J124" s="124"/>
      <c r="L124" s="17"/>
      <c r="M124" s="17"/>
    </row>
    <row r="125" spans="1:21" ht="27" customHeight="1" x14ac:dyDescent="0.25">
      <c r="A125" s="54" t="s">
        <v>101</v>
      </c>
      <c r="B125" s="73">
        <f t="shared" si="1"/>
        <v>11.835053827100001</v>
      </c>
      <c r="C125" s="54" t="s">
        <v>43</v>
      </c>
      <c r="D125" s="76">
        <f t="shared" si="2"/>
        <v>1.6409548333000001</v>
      </c>
      <c r="E125" s="131" t="s">
        <v>102</v>
      </c>
      <c r="F125" s="124"/>
      <c r="G125" s="124"/>
      <c r="H125" s="132">
        <f t="shared" si="3"/>
        <v>0</v>
      </c>
      <c r="I125" s="124"/>
      <c r="J125" s="124"/>
      <c r="L125" s="17"/>
      <c r="M125" s="17"/>
    </row>
    <row r="126" spans="1:21" ht="16.5" customHeight="1" x14ac:dyDescent="0.25">
      <c r="A126" s="54" t="s">
        <v>103</v>
      </c>
      <c r="B126" s="73">
        <f t="shared" si="1"/>
        <v>0</v>
      </c>
      <c r="C126" s="54"/>
      <c r="D126" s="80"/>
      <c r="E126" s="131" t="s">
        <v>104</v>
      </c>
      <c r="F126" s="124"/>
      <c r="G126" s="124"/>
      <c r="H126" s="132">
        <f t="shared" si="3"/>
        <v>9.08</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9.4</v>
      </c>
      <c r="C127" s="54"/>
      <c r="D127" s="80"/>
      <c r="E127" s="131" t="s">
        <v>106</v>
      </c>
      <c r="F127" s="124"/>
      <c r="G127" s="124"/>
      <c r="H127" s="132">
        <f t="shared" si="3"/>
        <v>16.900477167200002</v>
      </c>
      <c r="I127" s="124"/>
      <c r="J127" s="124"/>
      <c r="L127" s="54" t="s">
        <v>77</v>
      </c>
      <c r="M127" s="75">
        <f>[1]!b_stm07_bs(K107,9,L107,1)</f>
        <v>284546251.87</v>
      </c>
      <c r="N127" s="54" t="s">
        <v>78</v>
      </c>
      <c r="O127" s="75">
        <f>[1]!b_stm07_is(K107,83,L107,1)</f>
        <v>2237240751.02</v>
      </c>
      <c r="P127" s="131" t="s">
        <v>79</v>
      </c>
      <c r="Q127" s="124"/>
      <c r="R127" s="124"/>
      <c r="S127" s="136">
        <f>[1]!b_stm07_cs(K107,9,L107,1)</f>
        <v>2492429330.3800001</v>
      </c>
      <c r="T127" s="135"/>
      <c r="U127" s="135"/>
    </row>
    <row r="128" spans="1:21" ht="14.25" customHeight="1" x14ac:dyDescent="0.25">
      <c r="A128" s="54" t="s">
        <v>107</v>
      </c>
      <c r="B128" s="73">
        <f t="shared" si="1"/>
        <v>23.662684061599997</v>
      </c>
      <c r="C128" s="54"/>
      <c r="D128" s="80"/>
      <c r="E128" s="131" t="s">
        <v>108</v>
      </c>
      <c r="F128" s="124"/>
      <c r="G128" s="124"/>
      <c r="H128" s="133">
        <f t="shared" si="3"/>
        <v>25.980477167199997</v>
      </c>
      <c r="I128" s="124"/>
      <c r="J128" s="124"/>
      <c r="L128" s="54" t="s">
        <v>80</v>
      </c>
      <c r="M128" s="75">
        <f>[1]!b_stm07_bs(K107,12,L107,1)</f>
        <v>10503931.550000001</v>
      </c>
      <c r="N128" s="54" t="s">
        <v>81</v>
      </c>
      <c r="O128" s="75">
        <f>[1]!b_stm07_is(K107,84,L107,1)</f>
        <v>2314240738.6900001</v>
      </c>
      <c r="P128" s="131" t="s">
        <v>82</v>
      </c>
      <c r="Q128" s="124"/>
      <c r="R128" s="124"/>
      <c r="S128" s="136">
        <f>[1]!b_stm07_cs(K107,11,L107,1)</f>
        <v>694071778.70000005</v>
      </c>
      <c r="T128" s="135"/>
      <c r="U128" s="135"/>
    </row>
    <row r="129" spans="1:21" ht="14.25" customHeight="1" x14ac:dyDescent="0.25">
      <c r="A129" s="54" t="s">
        <v>109</v>
      </c>
      <c r="B129" s="79">
        <f t="shared" si="1"/>
        <v>56.005056261000007</v>
      </c>
      <c r="C129" s="14"/>
      <c r="D129" s="13"/>
      <c r="E129" s="131" t="s">
        <v>110</v>
      </c>
      <c r="F129" s="124"/>
      <c r="G129" s="124"/>
      <c r="H129" s="132">
        <f t="shared" si="3"/>
        <v>18.968800000000002</v>
      </c>
      <c r="I129" s="124"/>
      <c r="J129" s="124"/>
      <c r="L129" s="54" t="s">
        <v>83</v>
      </c>
      <c r="M129" s="75">
        <f>[1]!b_stm07_bs(K107,13,L107,1)</f>
        <v>11312777.140000001</v>
      </c>
      <c r="N129" s="54" t="s">
        <v>84</v>
      </c>
      <c r="O129" s="75">
        <f>[1]!b_stm07_is(K107,10,L107,1)</f>
        <v>1952310023.45</v>
      </c>
      <c r="P129" s="131" t="s">
        <v>85</v>
      </c>
      <c r="Q129" s="124"/>
      <c r="R129" s="124"/>
      <c r="S129" s="137">
        <f>[1]!b_stm07_cs(K107,25,L107,1)</f>
        <v>3186501109.0799999</v>
      </c>
      <c r="T129" s="135"/>
      <c r="U129" s="135"/>
    </row>
    <row r="130" spans="1:21" ht="14.25" customHeight="1" x14ac:dyDescent="0.25">
      <c r="A130" s="54" t="s">
        <v>111</v>
      </c>
      <c r="B130" s="79">
        <f t="shared" si="1"/>
        <v>65.400751063100003</v>
      </c>
      <c r="C130" s="14"/>
      <c r="D130" s="13"/>
      <c r="E130" s="131" t="s">
        <v>112</v>
      </c>
      <c r="F130" s="124"/>
      <c r="G130" s="124"/>
      <c r="H130" s="132">
        <f t="shared" si="3"/>
        <v>21.497926658099999</v>
      </c>
      <c r="I130" s="124"/>
      <c r="J130" s="124"/>
      <c r="L130" s="54" t="s">
        <v>86</v>
      </c>
      <c r="M130" s="75">
        <f>[1]!b_stm07_bs(K107,31,L107,1)</f>
        <v>428082423.58999997</v>
      </c>
      <c r="N130" s="54" t="s">
        <v>87</v>
      </c>
      <c r="O130" s="75">
        <f>[1]!b_stm07_is(K107,12,L107,1)</f>
        <v>3792696.48</v>
      </c>
      <c r="P130" s="131" t="s">
        <v>88</v>
      </c>
      <c r="Q130" s="124"/>
      <c r="R130" s="124"/>
      <c r="S130" s="136">
        <f>[1]!b_stm07_cs(K107,26,L107,1)</f>
        <v>2147954911.0500002</v>
      </c>
      <c r="T130" s="135"/>
      <c r="U130" s="135"/>
    </row>
    <row r="131" spans="1:21" ht="14.25" customHeight="1" x14ac:dyDescent="0.25">
      <c r="A131" s="15" t="s">
        <v>113</v>
      </c>
      <c r="B131" s="79">
        <f t="shared" si="1"/>
        <v>121.4058073241</v>
      </c>
      <c r="C131" s="14"/>
      <c r="D131" s="13"/>
      <c r="E131" s="131" t="s">
        <v>114</v>
      </c>
      <c r="F131" s="124"/>
      <c r="G131" s="124"/>
      <c r="H131" s="133">
        <f t="shared" si="3"/>
        <v>4.4825505091000002</v>
      </c>
      <c r="I131" s="124"/>
      <c r="J131" s="124"/>
      <c r="L131" s="54" t="s">
        <v>89</v>
      </c>
      <c r="M131" s="75">
        <f>[1]!b_stm07_bs(K107,33,L107,1)</f>
        <v>5692755823.21</v>
      </c>
      <c r="N131" s="54" t="s">
        <v>90</v>
      </c>
      <c r="O131" s="75">
        <f>[1]!b_stm07_is(K107,13,L107,1)</f>
        <v>69309342.930000007</v>
      </c>
      <c r="P131" s="131" t="s">
        <v>91</v>
      </c>
      <c r="Q131" s="124"/>
      <c r="R131" s="124"/>
      <c r="S131" s="136">
        <f>[1]!b_stm07_cs(K107,29,L107,1)</f>
        <v>234900606.75999999</v>
      </c>
      <c r="T131" s="135"/>
      <c r="U131" s="135"/>
    </row>
    <row r="132" spans="1:21" x14ac:dyDescent="0.25">
      <c r="L132" s="54" t="s">
        <v>92</v>
      </c>
      <c r="M132" s="75">
        <f>[1]!b_stm07_bs(K107,37,L107,1)</f>
        <v>1947313804.5699999</v>
      </c>
      <c r="N132" s="54" t="s">
        <v>93</v>
      </c>
      <c r="O132" s="75">
        <f>[1]!b_stm07_is(K107,14,L107,1)</f>
        <v>273102070.42000002</v>
      </c>
      <c r="P132" s="131" t="s">
        <v>94</v>
      </c>
      <c r="Q132" s="124"/>
      <c r="R132" s="124"/>
      <c r="S132" s="137">
        <f>[1]!b_stm07_cs(K107,37,L107,1)</f>
        <v>2411725550.9099998</v>
      </c>
      <c r="T132" s="135"/>
      <c r="U132" s="135"/>
    </row>
    <row r="133" spans="1:21" x14ac:dyDescent="0.25">
      <c r="L133" s="54" t="s">
        <v>95</v>
      </c>
      <c r="M133" s="81">
        <f>[1]!b_stm07_bs(K107,74,L107,1)</f>
        <v>12140580732.41</v>
      </c>
      <c r="N133" s="54" t="s">
        <v>96</v>
      </c>
      <c r="O133" s="75">
        <f>[1]!b_stm07_is(K107,48,L107,1)</f>
        <v>164100012.33000001</v>
      </c>
      <c r="P133" s="131" t="s">
        <v>97</v>
      </c>
      <c r="Q133" s="124"/>
      <c r="R133" s="124"/>
      <c r="S133" s="137">
        <f>[1]!b_stm07_cs(K107,39,L107,1)</f>
        <v>774775558.16999996</v>
      </c>
      <c r="T133" s="135"/>
      <c r="U133" s="135"/>
    </row>
    <row r="134" spans="1:21" x14ac:dyDescent="0.25">
      <c r="L134" s="54" t="s">
        <v>98</v>
      </c>
      <c r="M134" s="75">
        <f>[1]!b_stm07_bs(K107,75,L107,1)</f>
        <v>628000000</v>
      </c>
      <c r="N134" s="54" t="s">
        <v>99</v>
      </c>
      <c r="O134" s="75">
        <f>[1]!b_stm07_is(K107,55,L107,1)</f>
        <v>164095483.33000001</v>
      </c>
      <c r="P134" s="131" t="s">
        <v>100</v>
      </c>
      <c r="Q134" s="124"/>
      <c r="R134" s="124"/>
      <c r="S134" s="137">
        <f>[1]!b_stm07_cs(K107,59,L107,1)</f>
        <v>-1590345956.1300001</v>
      </c>
      <c r="T134" s="135"/>
      <c r="U134" s="135"/>
    </row>
    <row r="135" spans="1:21" ht="32.4" customHeight="1" x14ac:dyDescent="0.25">
      <c r="L135" s="54" t="s">
        <v>101</v>
      </c>
      <c r="M135" s="75">
        <f>[1]!b_stm07_bs(K107,88,L107,1)</f>
        <v>1183505382.71</v>
      </c>
      <c r="N135" s="54" t="s">
        <v>43</v>
      </c>
      <c r="O135" s="75">
        <f>[1]!b_stm07_is(K107,60,L107,1)</f>
        <v>164095483.33000001</v>
      </c>
      <c r="P135" s="131" t="s">
        <v>102</v>
      </c>
      <c r="Q135" s="124"/>
      <c r="R135" s="124"/>
      <c r="S135" s="136">
        <f>[1]!b_stm07_cs(K107,60,L107,1)</f>
        <v>0</v>
      </c>
      <c r="T135" s="135"/>
      <c r="U135" s="135"/>
    </row>
    <row r="136" spans="1:21" ht="21.6" customHeight="1" x14ac:dyDescent="0.25">
      <c r="L136" s="54" t="s">
        <v>103</v>
      </c>
      <c r="M136" s="75">
        <f>[1]!b_stm07_bs(K107,147,L107,1)</f>
        <v>0</v>
      </c>
      <c r="N136" s="54"/>
      <c r="O136" s="80"/>
      <c r="P136" s="131" t="s">
        <v>104</v>
      </c>
      <c r="Q136" s="124"/>
      <c r="R136" s="124"/>
      <c r="S136" s="136">
        <f>[1]!b_stm07_cs(K107,61,L107,1)</f>
        <v>908000000</v>
      </c>
      <c r="T136" s="135"/>
      <c r="U136" s="135"/>
    </row>
    <row r="137" spans="1:21" x14ac:dyDescent="0.25">
      <c r="L137" s="54" t="s">
        <v>105</v>
      </c>
      <c r="M137" s="75">
        <f>[1]!b_stm07_bs(K107,94,L107,1)</f>
        <v>940000000</v>
      </c>
      <c r="N137" s="54"/>
      <c r="O137" s="80"/>
      <c r="P137" s="131" t="s">
        <v>106</v>
      </c>
      <c r="Q137" s="124"/>
      <c r="R137" s="124"/>
      <c r="S137" s="136">
        <f>[1]!b_stm07_cs(K107,63,L107,1)</f>
        <v>1690047716.72</v>
      </c>
      <c r="T137" s="135"/>
      <c r="U137" s="135"/>
    </row>
    <row r="138" spans="1:21" x14ac:dyDescent="0.25">
      <c r="L138" s="54" t="s">
        <v>107</v>
      </c>
      <c r="M138" s="75">
        <f>[1]!b_stm07_bs(K107,95,L107,1)</f>
        <v>2366268406.1599998</v>
      </c>
      <c r="N138" s="54"/>
      <c r="O138" s="80"/>
      <c r="P138" s="131" t="s">
        <v>108</v>
      </c>
      <c r="Q138" s="124"/>
      <c r="R138" s="124"/>
      <c r="S138" s="137">
        <f>[1]!b_stm07_cs(K107,68,L107,1)</f>
        <v>2598047716.7199998</v>
      </c>
      <c r="T138" s="135"/>
      <c r="U138" s="135"/>
    </row>
    <row r="139" spans="1:21" x14ac:dyDescent="0.25">
      <c r="L139" s="54" t="s">
        <v>109</v>
      </c>
      <c r="M139" s="81">
        <f>[1]!b_stm07_bs(K107,128,L107,1)</f>
        <v>5600505626.1000004</v>
      </c>
      <c r="N139" s="14"/>
      <c r="O139" s="13"/>
      <c r="P139" s="131" t="s">
        <v>110</v>
      </c>
      <c r="Q139" s="124"/>
      <c r="R139" s="124"/>
      <c r="S139" s="136">
        <f>[1]!b_stm07_cs(K107,69,L107,1)</f>
        <v>1896880000</v>
      </c>
      <c r="T139" s="135"/>
      <c r="U139" s="135"/>
    </row>
    <row r="140" spans="1:21" ht="21.6" customHeight="1" x14ac:dyDescent="0.25">
      <c r="L140" s="54" t="s">
        <v>111</v>
      </c>
      <c r="M140" s="81">
        <f>[1]!b_stm07_bs(K107,141,L107,1)</f>
        <v>6540075106.3100004</v>
      </c>
      <c r="N140" s="14"/>
      <c r="O140" s="13"/>
      <c r="P140" s="131" t="s">
        <v>112</v>
      </c>
      <c r="Q140" s="124"/>
      <c r="R140" s="124"/>
      <c r="S140" s="136">
        <f>[1]!b_stm07_cs(K107,75,L107,1)</f>
        <v>2149792665.8099999</v>
      </c>
      <c r="T140" s="135"/>
      <c r="U140" s="135"/>
    </row>
    <row r="141" spans="1:21" ht="21.6" customHeight="1" x14ac:dyDescent="0.25">
      <c r="L141" s="15" t="s">
        <v>113</v>
      </c>
      <c r="M141" s="81">
        <f>[1]!b_stm07_bs(K107,145,L107,1)</f>
        <v>12140580732.41</v>
      </c>
      <c r="N141" s="14"/>
      <c r="O141" s="13"/>
      <c r="P141" s="131" t="s">
        <v>114</v>
      </c>
      <c r="Q141" s="124"/>
      <c r="R141" s="124"/>
      <c r="S141" s="137">
        <f>[1]!b_stm07_cs(K107,77,L107,1)</f>
        <v>448255050.91000003</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249</v>
      </c>
      <c r="C2" s="120"/>
      <c r="D2" s="57" t="s">
        <v>3</v>
      </c>
      <c r="E2" s="119" t="s">
        <v>250</v>
      </c>
      <c r="F2" s="120"/>
      <c r="G2" s="120"/>
    </row>
    <row r="3" spans="1:12" ht="14.25" customHeight="1" x14ac:dyDescent="0.25">
      <c r="A3" s="57" t="s">
        <v>4</v>
      </c>
      <c r="B3" s="119" t="s">
        <v>251</v>
      </c>
      <c r="C3" s="120"/>
      <c r="D3" s="57" t="s">
        <v>5</v>
      </c>
      <c r="E3" s="119" t="s">
        <v>252</v>
      </c>
      <c r="F3" s="120"/>
      <c r="G3" s="120"/>
    </row>
    <row r="4" spans="1:12" ht="113.25" customHeight="1" x14ac:dyDescent="0.25">
      <c r="A4" s="57" t="s">
        <v>6</v>
      </c>
      <c r="B4" s="121" t="s">
        <v>253</v>
      </c>
      <c r="C4" s="120"/>
      <c r="D4" s="120"/>
      <c r="E4" s="120"/>
      <c r="F4" s="120"/>
      <c r="G4" s="120"/>
    </row>
    <row r="5" spans="1:12" ht="14.4" x14ac:dyDescent="0.25">
      <c r="A5" s="82" t="s">
        <v>115</v>
      </c>
      <c r="B5" s="140" t="s">
        <v>254</v>
      </c>
      <c r="C5" s="120"/>
      <c r="D5" s="120"/>
      <c r="E5" s="120"/>
      <c r="F5" s="141">
        <v>0.65</v>
      </c>
      <c r="G5" s="120"/>
    </row>
    <row r="6" spans="1:12" ht="11.25" customHeight="1" x14ac:dyDescent="0.25">
      <c r="A6" s="82" t="s">
        <v>116</v>
      </c>
      <c r="B6" s="140" t="s">
        <v>255</v>
      </c>
      <c r="C6" s="120"/>
      <c r="D6" s="120"/>
      <c r="E6" s="120"/>
      <c r="F6" s="141">
        <v>0.35</v>
      </c>
      <c r="G6" s="120"/>
    </row>
    <row r="7" spans="1:12" ht="11.25" customHeight="1" x14ac:dyDescent="0.25">
      <c r="A7" s="82" t="s">
        <v>117</v>
      </c>
      <c r="B7" s="140" t="s">
        <v>256</v>
      </c>
      <c r="C7" s="120"/>
      <c r="D7" s="120"/>
      <c r="E7" s="120"/>
      <c r="F7" s="141" t="s">
        <v>256</v>
      </c>
      <c r="G7" s="120"/>
    </row>
    <row r="8" spans="1:12" ht="11.25" customHeight="1" x14ac:dyDescent="0.25">
      <c r="A8" s="82" t="s">
        <v>118</v>
      </c>
      <c r="B8" s="140" t="s">
        <v>256</v>
      </c>
      <c r="C8" s="120"/>
      <c r="D8" s="120"/>
      <c r="E8" s="120"/>
      <c r="F8" s="141" t="s">
        <v>256</v>
      </c>
      <c r="G8" s="120"/>
    </row>
    <row r="9" spans="1:12" ht="11.25" customHeight="1" x14ac:dyDescent="0.25">
      <c r="A9" s="82" t="s">
        <v>119</v>
      </c>
      <c r="B9" s="140" t="s">
        <v>256</v>
      </c>
      <c r="C9" s="120"/>
      <c r="D9" s="120"/>
      <c r="E9" s="120"/>
      <c r="F9" s="141" t="s">
        <v>256</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7.5</v>
      </c>
      <c r="E13" s="64">
        <v>2.7150684931506848</v>
      </c>
      <c r="F13" s="65">
        <v>0</v>
      </c>
      <c r="G13" s="64">
        <v>6</v>
      </c>
    </row>
    <row r="14" spans="1:12" ht="14.4" customHeight="1" x14ac:dyDescent="0.25">
      <c r="A14" t="s">
        <v>124</v>
      </c>
      <c r="B14" t="s">
        <v>125</v>
      </c>
      <c r="C14" t="s">
        <v>126</v>
      </c>
      <c r="D14" s="64">
        <v>7.8</v>
      </c>
      <c r="E14" s="83">
        <v>1.5178082191780822</v>
      </c>
      <c r="F14">
        <v>0</v>
      </c>
      <c r="G14" s="64">
        <v>1</v>
      </c>
    </row>
    <row r="15" spans="1:12" ht="14.4" customHeight="1" x14ac:dyDescent="0.25">
      <c r="A15" t="s">
        <v>127</v>
      </c>
      <c r="B15" t="s">
        <v>128</v>
      </c>
      <c r="C15" t="s">
        <v>129</v>
      </c>
      <c r="D15" s="64">
        <v>7</v>
      </c>
      <c r="E15" s="83">
        <v>0</v>
      </c>
      <c r="F15" t="s">
        <v>257</v>
      </c>
      <c r="G15" s="64">
        <v>6</v>
      </c>
    </row>
    <row r="16" spans="1:12" ht="14.4" customHeight="1" x14ac:dyDescent="0.25">
      <c r="A16" t="s">
        <v>130</v>
      </c>
      <c r="B16" t="s">
        <v>131</v>
      </c>
      <c r="C16" t="s">
        <v>132</v>
      </c>
      <c r="D16" s="64">
        <v>6.5</v>
      </c>
      <c r="E16" s="83">
        <v>1.4383561643835616</v>
      </c>
      <c r="F16">
        <v>0</v>
      </c>
      <c r="G16" s="64">
        <v>4</v>
      </c>
    </row>
    <row r="17" spans="1:7" ht="14.4" customHeight="1" x14ac:dyDescent="0.25">
      <c r="A17" t="s">
        <v>133</v>
      </c>
      <c r="B17" t="s">
        <v>134</v>
      </c>
      <c r="C17" t="s">
        <v>135</v>
      </c>
      <c r="D17" s="64">
        <v>6.4</v>
      </c>
      <c r="E17" s="83">
        <v>1.1972602739726028</v>
      </c>
      <c r="F17">
        <v>0</v>
      </c>
      <c r="G17" s="64">
        <v>4</v>
      </c>
    </row>
    <row r="18" spans="1:7" ht="14.4" customHeight="1" x14ac:dyDescent="0.25">
      <c r="A18" t="s">
        <v>136</v>
      </c>
      <c r="B18" t="s">
        <v>137</v>
      </c>
      <c r="C18" t="s">
        <v>138</v>
      </c>
      <c r="D18" s="64">
        <v>5.58</v>
      </c>
      <c r="E18" s="83">
        <v>0</v>
      </c>
      <c r="F18" t="s">
        <v>257</v>
      </c>
      <c r="G18" s="64">
        <v>6</v>
      </c>
    </row>
    <row r="19" spans="1:7" ht="14.4" customHeight="1" x14ac:dyDescent="0.25">
      <c r="A19" t="s">
        <v>139</v>
      </c>
      <c r="B19" t="s">
        <v>140</v>
      </c>
      <c r="C19" t="s">
        <v>141</v>
      </c>
      <c r="D19" s="64">
        <v>4.1500000000000004</v>
      </c>
      <c r="E19" s="83">
        <v>0</v>
      </c>
      <c r="F19" t="s">
        <v>258</v>
      </c>
      <c r="G19" s="64">
        <v>0.4</v>
      </c>
    </row>
    <row r="20" spans="1:7" ht="14.4" customHeight="1" x14ac:dyDescent="0.25">
      <c r="A20" t="s">
        <v>142</v>
      </c>
      <c r="B20" t="s">
        <v>140</v>
      </c>
      <c r="C20" t="s">
        <v>143</v>
      </c>
      <c r="D20" s="64">
        <v>4.55</v>
      </c>
      <c r="E20" s="83">
        <v>0</v>
      </c>
      <c r="F20" t="s">
        <v>258</v>
      </c>
      <c r="G20" s="64">
        <v>0.45</v>
      </c>
    </row>
    <row r="21" spans="1:7" ht="14.4" customHeight="1" x14ac:dyDescent="0.25">
      <c r="A21" t="s">
        <v>144</v>
      </c>
      <c r="B21" t="s">
        <v>140</v>
      </c>
      <c r="C21" t="s">
        <v>145</v>
      </c>
      <c r="D21" s="64">
        <v>4.74</v>
      </c>
      <c r="E21" s="83">
        <v>0.12328767123287671</v>
      </c>
      <c r="F21" t="s">
        <v>258</v>
      </c>
      <c r="G21" s="64">
        <v>0.48</v>
      </c>
    </row>
    <row r="22" spans="1:7" ht="14.4" customHeight="1" x14ac:dyDescent="0.25">
      <c r="A22" t="s">
        <v>146</v>
      </c>
      <c r="B22" t="s">
        <v>140</v>
      </c>
      <c r="C22" t="s">
        <v>147</v>
      </c>
      <c r="D22" s="64">
        <v>5.3</v>
      </c>
      <c r="E22" s="83">
        <v>1.1232876712328768</v>
      </c>
      <c r="F22" t="s">
        <v>258</v>
      </c>
      <c r="G22" s="64">
        <v>0.52</v>
      </c>
    </row>
    <row r="23" spans="1:7" ht="14.4" customHeight="1" x14ac:dyDescent="0.25">
      <c r="A23" t="s">
        <v>148</v>
      </c>
      <c r="B23" t="s">
        <v>140</v>
      </c>
      <c r="C23" t="s">
        <v>149</v>
      </c>
      <c r="D23" s="64">
        <v>5.6</v>
      </c>
      <c r="E23" s="83">
        <v>2.1232876712328768</v>
      </c>
      <c r="F23" t="s">
        <v>258</v>
      </c>
      <c r="G23" s="64">
        <v>0.55000000000000004</v>
      </c>
    </row>
    <row r="24" spans="1:7" ht="14.4" customHeight="1" x14ac:dyDescent="0.25">
      <c r="A24" t="s">
        <v>150</v>
      </c>
      <c r="B24" t="s">
        <v>140</v>
      </c>
      <c r="C24" t="s">
        <v>151</v>
      </c>
      <c r="D24" s="64"/>
      <c r="E24" s="83">
        <v>2.1232876712328768</v>
      </c>
      <c r="F24">
        <v>0</v>
      </c>
      <c r="G24" s="64">
        <v>0.12</v>
      </c>
    </row>
    <row r="25" spans="1:7" ht="14.4" customHeight="1" x14ac:dyDescent="0.25">
      <c r="A25" t="s">
        <v>152</v>
      </c>
      <c r="B25" t="s">
        <v>153</v>
      </c>
      <c r="C25" t="s">
        <v>154</v>
      </c>
      <c r="D25" s="64">
        <v>4.4800000000000004</v>
      </c>
      <c r="E25" s="83">
        <v>2.1013698630136988</v>
      </c>
      <c r="F25" t="s">
        <v>25</v>
      </c>
      <c r="G25" s="64">
        <v>6</v>
      </c>
    </row>
    <row r="26" spans="1:7" ht="14.4" customHeight="1" x14ac:dyDescent="0.25">
      <c r="A26" t="s">
        <v>155</v>
      </c>
      <c r="B26" t="s">
        <v>156</v>
      </c>
      <c r="C26" t="s">
        <v>157</v>
      </c>
      <c r="D26" s="64">
        <v>7.05</v>
      </c>
      <c r="E26" s="83">
        <v>2.0301369863013701</v>
      </c>
      <c r="F26" t="s">
        <v>25</v>
      </c>
      <c r="G26" s="64">
        <v>6</v>
      </c>
    </row>
    <row r="27" spans="1:7" ht="14.4" customHeight="1" x14ac:dyDescent="0.25">
      <c r="A27" t="s">
        <v>158</v>
      </c>
      <c r="B27" t="s">
        <v>159</v>
      </c>
      <c r="C27" t="s">
        <v>160</v>
      </c>
      <c r="D27" s="64">
        <v>3.93</v>
      </c>
      <c r="E27" s="83">
        <v>0</v>
      </c>
      <c r="F27">
        <v>0</v>
      </c>
      <c r="G27" s="64">
        <v>4</v>
      </c>
    </row>
    <row r="28" spans="1:7" ht="14.4" customHeight="1" x14ac:dyDescent="0.25">
      <c r="A28" t="s">
        <v>161</v>
      </c>
      <c r="B28" t="s">
        <v>162</v>
      </c>
      <c r="C28" t="s">
        <v>163</v>
      </c>
      <c r="D28" s="64">
        <v>8</v>
      </c>
      <c r="E28" s="83">
        <v>1.7397260273972601</v>
      </c>
      <c r="F28" t="s">
        <v>25</v>
      </c>
      <c r="G28" s="64">
        <v>3</v>
      </c>
    </row>
    <row r="29" spans="1:7" ht="14.4" customHeight="1" x14ac:dyDescent="0.25">
      <c r="A29" t="s">
        <v>164</v>
      </c>
      <c r="B29" t="s">
        <v>165</v>
      </c>
      <c r="C29" t="s">
        <v>166</v>
      </c>
      <c r="D29" s="64">
        <v>4.97</v>
      </c>
      <c r="E29" s="83">
        <v>0</v>
      </c>
      <c r="F29">
        <v>0</v>
      </c>
      <c r="G29" s="64">
        <v>4</v>
      </c>
    </row>
    <row r="30" spans="1:7" ht="14.4" customHeight="1" x14ac:dyDescent="0.25">
      <c r="A30" t="s">
        <v>167</v>
      </c>
      <c r="B30" t="s">
        <v>168</v>
      </c>
      <c r="C30" t="s">
        <v>169</v>
      </c>
      <c r="D30" s="64">
        <v>7.3</v>
      </c>
      <c r="E30" s="83">
        <v>2.2986301369863016</v>
      </c>
      <c r="F30" t="s">
        <v>25</v>
      </c>
      <c r="G30" s="64">
        <v>8</v>
      </c>
    </row>
    <row r="31" spans="1:7" ht="14.4" customHeight="1" x14ac:dyDescent="0.25">
      <c r="A31" t="s">
        <v>170</v>
      </c>
      <c r="B31" t="s">
        <v>168</v>
      </c>
      <c r="C31" t="s">
        <v>171</v>
      </c>
      <c r="D31" s="64">
        <v>7.3</v>
      </c>
      <c r="E31" s="83">
        <v>2.2986301369863016</v>
      </c>
      <c r="F31" t="s">
        <v>25</v>
      </c>
      <c r="G31" s="64">
        <v>8</v>
      </c>
    </row>
    <row r="32" spans="1:7" ht="14.4" customHeight="1" x14ac:dyDescent="0.25">
      <c r="D32" s="64"/>
      <c r="E32" s="83"/>
      <c r="G32" s="64"/>
    </row>
    <row r="33" spans="1:7" ht="14.4" customHeight="1" x14ac:dyDescent="0.25">
      <c r="D33" s="64"/>
      <c r="E33" s="83"/>
      <c r="G33" s="64"/>
    </row>
    <row r="34" spans="1:7" ht="14.4" customHeight="1" x14ac:dyDescent="0.25">
      <c r="D34" s="64"/>
      <c r="E34" s="83"/>
      <c r="G34" s="64"/>
    </row>
    <row r="35" spans="1:7" ht="14.4" customHeight="1" x14ac:dyDescent="0.25">
      <c r="D35" s="64"/>
      <c r="E35" s="83"/>
      <c r="G35" s="64"/>
    </row>
    <row r="36" spans="1:7" ht="14.4" customHeight="1" x14ac:dyDescent="0.25">
      <c r="D36" s="64"/>
      <c r="E36" s="83"/>
      <c r="G36" s="64"/>
    </row>
    <row r="37" spans="1:7" ht="14.4" customHeight="1" x14ac:dyDescent="0.25">
      <c r="A37" s="143" t="s">
        <v>172</v>
      </c>
      <c r="B37" s="143"/>
      <c r="C37" s="143"/>
      <c r="D37" s="143"/>
      <c r="E37" s="83"/>
      <c r="G37" s="64"/>
    </row>
    <row r="38" spans="1:7" ht="14.4" customHeight="1" x14ac:dyDescent="0.25">
      <c r="A38" s="84" t="s">
        <v>173</v>
      </c>
      <c r="B38" s="84" t="s">
        <v>174</v>
      </c>
      <c r="C38" s="84" t="s">
        <v>175</v>
      </c>
      <c r="D38" s="85" t="s">
        <v>176</v>
      </c>
      <c r="E38" s="83"/>
      <c r="G38" s="64"/>
    </row>
    <row r="39" spans="1:7" ht="14.4" customHeight="1" x14ac:dyDescent="0.25">
      <c r="A39" t="s">
        <v>177</v>
      </c>
      <c r="B39" t="s">
        <v>25</v>
      </c>
      <c r="C39" t="s">
        <v>178</v>
      </c>
      <c r="D39" s="64" t="s">
        <v>179</v>
      </c>
      <c r="E39" s="83"/>
      <c r="G39" s="64"/>
    </row>
    <row r="40" spans="1:7" ht="14.4" customHeight="1" x14ac:dyDescent="0.25">
      <c r="A40" t="s">
        <v>180</v>
      </c>
      <c r="B40" t="s">
        <v>25</v>
      </c>
      <c r="C40" t="s">
        <v>178</v>
      </c>
      <c r="D40" s="64" t="s">
        <v>179</v>
      </c>
      <c r="E40" s="83"/>
      <c r="G40" s="64"/>
    </row>
    <row r="41" spans="1:7" ht="14.4" customHeight="1" x14ac:dyDescent="0.25">
      <c r="A41" t="s">
        <v>181</v>
      </c>
      <c r="B41" t="s">
        <v>25</v>
      </c>
      <c r="C41" t="s">
        <v>178</v>
      </c>
      <c r="D41" s="64" t="s">
        <v>182</v>
      </c>
      <c r="E41" s="83"/>
      <c r="G41" s="64"/>
    </row>
    <row r="42" spans="1:7" ht="14.4" customHeight="1" x14ac:dyDescent="0.25">
      <c r="A42" t="s">
        <v>183</v>
      </c>
      <c r="B42" t="s">
        <v>25</v>
      </c>
      <c r="C42" t="s">
        <v>178</v>
      </c>
      <c r="D42" s="64" t="s">
        <v>184</v>
      </c>
      <c r="E42" s="83"/>
      <c r="G42" s="64"/>
    </row>
    <row r="43" spans="1:7" ht="14.4" customHeight="1" x14ac:dyDescent="0.25">
      <c r="A43" t="s">
        <v>185</v>
      </c>
      <c r="B43" t="s">
        <v>25</v>
      </c>
      <c r="C43" t="s">
        <v>178</v>
      </c>
      <c r="D43" s="64" t="s">
        <v>179</v>
      </c>
      <c r="E43" s="83"/>
      <c r="G43" s="64"/>
    </row>
    <row r="44" spans="1:7" ht="14.4" customHeight="1" x14ac:dyDescent="0.25">
      <c r="A44" t="s">
        <v>186</v>
      </c>
      <c r="B44" t="s">
        <v>25</v>
      </c>
      <c r="C44" t="s">
        <v>178</v>
      </c>
      <c r="D44" s="64" t="s">
        <v>179</v>
      </c>
      <c r="E44" s="83"/>
      <c r="G44" s="64"/>
    </row>
    <row r="45" spans="1:7" ht="14.4" customHeight="1" x14ac:dyDescent="0.25">
      <c r="A45" t="s">
        <v>187</v>
      </c>
      <c r="B45" t="s">
        <v>25</v>
      </c>
      <c r="C45" t="s">
        <v>178</v>
      </c>
      <c r="D45" s="64" t="s">
        <v>184</v>
      </c>
      <c r="E45" s="83"/>
      <c r="G45" s="64"/>
    </row>
    <row r="46" spans="1:7" ht="14.4" customHeight="1" x14ac:dyDescent="0.25">
      <c r="A46" t="s">
        <v>188</v>
      </c>
      <c r="B46" t="s">
        <v>25</v>
      </c>
      <c r="C46" t="s">
        <v>178</v>
      </c>
      <c r="D46" s="64" t="s">
        <v>182</v>
      </c>
      <c r="E46" s="83"/>
      <c r="G46" s="64"/>
    </row>
    <row r="47" spans="1:7" ht="14.4" customHeight="1" x14ac:dyDescent="0.25">
      <c r="A47" t="s">
        <v>189</v>
      </c>
      <c r="B47" t="s">
        <v>25</v>
      </c>
      <c r="C47" t="s">
        <v>178</v>
      </c>
      <c r="D47" s="64" t="s">
        <v>179</v>
      </c>
      <c r="E47" s="83"/>
      <c r="G47" s="64"/>
    </row>
    <row r="48" spans="1:7" ht="14.4" customHeight="1" x14ac:dyDescent="0.25">
      <c r="A48" t="s">
        <v>190</v>
      </c>
      <c r="B48" t="s">
        <v>25</v>
      </c>
      <c r="C48" t="s">
        <v>178</v>
      </c>
      <c r="D48" s="64" t="s">
        <v>184</v>
      </c>
      <c r="E48" s="83"/>
      <c r="G48" s="64"/>
    </row>
    <row r="49" spans="1:7" ht="14.4" customHeight="1" x14ac:dyDescent="0.25">
      <c r="A49" t="s">
        <v>191</v>
      </c>
      <c r="B49" t="s">
        <v>25</v>
      </c>
      <c r="C49" t="s">
        <v>178</v>
      </c>
      <c r="D49" s="64" t="s">
        <v>182</v>
      </c>
      <c r="E49" s="83"/>
      <c r="G49" s="64"/>
    </row>
    <row r="50" spans="1:7" ht="14.4" customHeight="1" x14ac:dyDescent="0.25">
      <c r="A50" t="s">
        <v>192</v>
      </c>
      <c r="B50" t="s">
        <v>25</v>
      </c>
      <c r="C50" t="s">
        <v>178</v>
      </c>
      <c r="D50" s="64" t="s">
        <v>184</v>
      </c>
      <c r="E50" s="83"/>
      <c r="G50" s="64"/>
    </row>
    <row r="51" spans="1:7" ht="14.4" customHeight="1" x14ac:dyDescent="0.25">
      <c r="A51" t="s">
        <v>193</v>
      </c>
      <c r="B51" t="s">
        <v>25</v>
      </c>
      <c r="C51" t="s">
        <v>178</v>
      </c>
      <c r="D51" s="64" t="s">
        <v>184</v>
      </c>
      <c r="E51" s="83"/>
      <c r="G51" s="64"/>
    </row>
    <row r="52" spans="1:7" ht="14.4" customHeight="1" x14ac:dyDescent="0.25">
      <c r="D52" s="64"/>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194</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7:D3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0.46130499999999997</v>
      </c>
      <c r="C4" s="57" t="s">
        <v>36</v>
      </c>
      <c r="D4" s="87">
        <v>1.6355</v>
      </c>
      <c r="E4" s="57" t="s">
        <v>41</v>
      </c>
      <c r="F4" s="86">
        <v>1.1141000000000001</v>
      </c>
      <c r="G4" s="57" t="s">
        <v>42</v>
      </c>
      <c r="H4" s="86">
        <v>0.127358</v>
      </c>
      <c r="I4" s="57"/>
      <c r="J4" s="88"/>
    </row>
    <row r="5" spans="1:10" ht="15.75" customHeight="1" x14ac:dyDescent="0.25">
      <c r="A5" s="57" t="s">
        <v>62</v>
      </c>
      <c r="B5" s="86">
        <v>0.309062</v>
      </c>
      <c r="C5" s="57" t="s">
        <v>63</v>
      </c>
      <c r="D5" s="87">
        <v>0.13439999999999999</v>
      </c>
      <c r="E5" s="57" t="s">
        <v>64</v>
      </c>
      <c r="F5" s="87">
        <v>181.1275</v>
      </c>
      <c r="G5" s="57" t="s">
        <v>65</v>
      </c>
      <c r="H5" s="86">
        <v>7.3348999999999998E-2</v>
      </c>
      <c r="I5" s="57"/>
      <c r="J5" s="88"/>
    </row>
    <row r="6" spans="1:10" ht="15" customHeight="1" x14ac:dyDescent="0.25">
      <c r="A6" s="57" t="s">
        <v>66</v>
      </c>
      <c r="B6" s="86">
        <v>0.40964799999999996</v>
      </c>
      <c r="C6" s="57" t="s">
        <v>39</v>
      </c>
      <c r="D6" s="89">
        <v>9.0200000000000002E-2</v>
      </c>
      <c r="E6" s="57" t="s">
        <v>67</v>
      </c>
      <c r="F6" s="87">
        <v>0.5736</v>
      </c>
      <c r="G6" s="57" t="s">
        <v>45</v>
      </c>
      <c r="H6" s="86">
        <v>2.6841E-2</v>
      </c>
      <c r="I6" s="57"/>
      <c r="J6" s="88"/>
    </row>
    <row r="7" spans="1:10" ht="14.25" customHeight="1" x14ac:dyDescent="0.25">
      <c r="A7" s="57" t="s">
        <v>38</v>
      </c>
      <c r="B7" s="89">
        <v>0.79815899287205683</v>
      </c>
      <c r="C7" s="57" t="s">
        <v>68</v>
      </c>
      <c r="D7" s="89">
        <v>1.6174999999999999</v>
      </c>
      <c r="E7" s="57" t="s">
        <v>69</v>
      </c>
      <c r="F7" s="87">
        <v>0.55420000000000003</v>
      </c>
      <c r="G7" s="57" t="s">
        <v>70</v>
      </c>
      <c r="H7" s="86">
        <v>3.7305000000000005E-2</v>
      </c>
      <c r="I7" s="57"/>
      <c r="J7" s="88"/>
    </row>
    <row r="8" spans="1:10" x14ac:dyDescent="0.25">
      <c r="A8" s="57"/>
      <c r="B8" s="90"/>
      <c r="C8" s="57"/>
      <c r="D8" s="91"/>
      <c r="E8" s="57" t="s">
        <v>71</v>
      </c>
      <c r="F8" s="87">
        <v>0.19420000000000001</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2.8454625187000002</v>
      </c>
      <c r="C12" s="57" t="s">
        <v>78</v>
      </c>
      <c r="D12" s="89">
        <v>22.372407510199999</v>
      </c>
      <c r="E12" s="147" t="s">
        <v>79</v>
      </c>
      <c r="F12" s="120"/>
      <c r="G12" s="120"/>
      <c r="H12" s="148">
        <v>24.924293303800003</v>
      </c>
      <c r="I12" s="120"/>
      <c r="J12" s="120"/>
    </row>
    <row r="13" spans="1:10" ht="14.25" customHeight="1" x14ac:dyDescent="0.25">
      <c r="A13" s="57" t="s">
        <v>80</v>
      </c>
      <c r="B13" s="92">
        <v>0.10503931550000001</v>
      </c>
      <c r="C13" s="57" t="s">
        <v>81</v>
      </c>
      <c r="D13" s="89">
        <v>23.1424073869</v>
      </c>
      <c r="E13" s="147" t="s">
        <v>82</v>
      </c>
      <c r="F13" s="120"/>
      <c r="G13" s="120"/>
      <c r="H13" s="148">
        <v>6.9407177870000005</v>
      </c>
      <c r="I13" s="120"/>
      <c r="J13" s="120"/>
    </row>
    <row r="14" spans="1:10" ht="14.25" customHeight="1" x14ac:dyDescent="0.25">
      <c r="A14" s="57" t="s">
        <v>83</v>
      </c>
      <c r="B14" s="92">
        <v>0.11312777140000001</v>
      </c>
      <c r="C14" s="57" t="s">
        <v>84</v>
      </c>
      <c r="D14" s="89">
        <v>19.523100234499999</v>
      </c>
      <c r="E14" s="147" t="s">
        <v>85</v>
      </c>
      <c r="F14" s="120"/>
      <c r="G14" s="120"/>
      <c r="H14" s="148">
        <v>31.865011090799999</v>
      </c>
      <c r="I14" s="120"/>
      <c r="J14" s="120"/>
    </row>
    <row r="15" spans="1:10" ht="14.25" customHeight="1" x14ac:dyDescent="0.25">
      <c r="A15" s="57" t="s">
        <v>86</v>
      </c>
      <c r="B15" s="92">
        <v>4.2808242358999999</v>
      </c>
      <c r="C15" s="57" t="s">
        <v>87</v>
      </c>
      <c r="D15" s="89">
        <v>3.7926964799999997E-2</v>
      </c>
      <c r="E15" s="147" t="s">
        <v>88</v>
      </c>
      <c r="F15" s="120"/>
      <c r="G15" s="120"/>
      <c r="H15" s="148">
        <v>21.479549110500002</v>
      </c>
      <c r="I15" s="120"/>
      <c r="J15" s="120"/>
    </row>
    <row r="16" spans="1:10" ht="14.25" customHeight="1" x14ac:dyDescent="0.25">
      <c r="A16" s="57" t="s">
        <v>89</v>
      </c>
      <c r="B16" s="92">
        <v>56.927558232099997</v>
      </c>
      <c r="C16" s="57" t="s">
        <v>90</v>
      </c>
      <c r="D16" s="89">
        <v>0.69309342930000006</v>
      </c>
      <c r="E16" s="147" t="s">
        <v>91</v>
      </c>
      <c r="F16" s="120"/>
      <c r="G16" s="120"/>
      <c r="H16" s="148">
        <v>2.3490060676</v>
      </c>
      <c r="I16" s="120"/>
      <c r="J16" s="120"/>
    </row>
    <row r="17" spans="1:10" ht="14.25" customHeight="1" x14ac:dyDescent="0.25">
      <c r="A17" s="57" t="s">
        <v>92</v>
      </c>
      <c r="B17" s="92">
        <v>19.473138045700001</v>
      </c>
      <c r="C17" s="57" t="s">
        <v>93</v>
      </c>
      <c r="D17" s="89">
        <v>2.7310207042000001</v>
      </c>
      <c r="E17" s="147" t="s">
        <v>94</v>
      </c>
      <c r="F17" s="120"/>
      <c r="G17" s="120"/>
      <c r="H17" s="148">
        <v>24.117255509099998</v>
      </c>
      <c r="I17" s="120"/>
      <c r="J17" s="120"/>
    </row>
    <row r="18" spans="1:10" ht="14.25" customHeight="1" x14ac:dyDescent="0.25">
      <c r="A18" s="57" t="s">
        <v>95</v>
      </c>
      <c r="B18" s="92">
        <v>121.4058073241</v>
      </c>
      <c r="C18" s="57" t="s">
        <v>96</v>
      </c>
      <c r="D18" s="89">
        <v>1.6410001233000002</v>
      </c>
      <c r="E18" s="147" t="s">
        <v>97</v>
      </c>
      <c r="F18" s="120"/>
      <c r="G18" s="120"/>
      <c r="H18" s="148">
        <v>7.7477555816999999</v>
      </c>
      <c r="I18" s="120"/>
      <c r="J18" s="120"/>
    </row>
    <row r="19" spans="1:10" ht="14.25" customHeight="1" x14ac:dyDescent="0.25">
      <c r="A19" s="57" t="s">
        <v>98</v>
      </c>
      <c r="B19" s="92">
        <v>6.28</v>
      </c>
      <c r="C19" s="57" t="s">
        <v>99</v>
      </c>
      <c r="D19" s="89">
        <v>1.6409548333000001</v>
      </c>
      <c r="E19" s="147" t="s">
        <v>100</v>
      </c>
      <c r="F19" s="120"/>
      <c r="G19" s="120"/>
      <c r="H19" s="148">
        <v>-15.903459561300002</v>
      </c>
      <c r="I19" s="120"/>
      <c r="J19" s="120"/>
    </row>
    <row r="20" spans="1:10" ht="27" customHeight="1" x14ac:dyDescent="0.25">
      <c r="A20" s="57" t="s">
        <v>101</v>
      </c>
      <c r="B20" s="92">
        <v>11.835053827100001</v>
      </c>
      <c r="C20" s="57" t="s">
        <v>43</v>
      </c>
      <c r="D20" s="89">
        <v>1.6409548333000001</v>
      </c>
      <c r="E20" s="147" t="s">
        <v>102</v>
      </c>
      <c r="F20" s="120"/>
      <c r="G20" s="120"/>
      <c r="H20" s="148">
        <v>0</v>
      </c>
      <c r="I20" s="120"/>
      <c r="J20" s="120"/>
    </row>
    <row r="21" spans="1:10" ht="16.5" customHeight="1" x14ac:dyDescent="0.25">
      <c r="A21" s="57" t="s">
        <v>103</v>
      </c>
      <c r="B21" s="92">
        <v>0</v>
      </c>
      <c r="C21" s="57"/>
      <c r="D21" s="93"/>
      <c r="E21" s="147" t="s">
        <v>104</v>
      </c>
      <c r="F21" s="120"/>
      <c r="G21" s="120"/>
      <c r="H21" s="148">
        <v>9.08</v>
      </c>
      <c r="I21" s="120"/>
      <c r="J21" s="120"/>
    </row>
    <row r="22" spans="1:10" ht="14.25" customHeight="1" x14ac:dyDescent="0.25">
      <c r="A22" s="57" t="s">
        <v>105</v>
      </c>
      <c r="B22" s="92">
        <v>9.4</v>
      </c>
      <c r="C22" s="57"/>
      <c r="D22" s="93"/>
      <c r="E22" s="147" t="s">
        <v>106</v>
      </c>
      <c r="F22" s="120"/>
      <c r="G22" s="120"/>
      <c r="H22" s="148">
        <v>16.900477167200002</v>
      </c>
      <c r="I22" s="120"/>
      <c r="J22" s="120"/>
    </row>
    <row r="23" spans="1:10" ht="14.25" customHeight="1" x14ac:dyDescent="0.25">
      <c r="A23" s="57" t="s">
        <v>107</v>
      </c>
      <c r="B23" s="92">
        <v>23.662684061599997</v>
      </c>
      <c r="C23" s="57"/>
      <c r="D23" s="93"/>
      <c r="E23" s="147" t="s">
        <v>108</v>
      </c>
      <c r="F23" s="120"/>
      <c r="G23" s="120"/>
      <c r="H23" s="148">
        <v>25.980477167199997</v>
      </c>
      <c r="I23" s="120"/>
      <c r="J23" s="120"/>
    </row>
    <row r="24" spans="1:10" ht="14.25" customHeight="1" x14ac:dyDescent="0.25">
      <c r="A24" s="57" t="s">
        <v>109</v>
      </c>
      <c r="B24" s="92">
        <v>56.005056261000007</v>
      </c>
      <c r="C24" s="94"/>
      <c r="D24" s="91"/>
      <c r="E24" s="147" t="s">
        <v>110</v>
      </c>
      <c r="F24" s="120"/>
      <c r="G24" s="120"/>
      <c r="H24" s="148">
        <v>18.968800000000002</v>
      </c>
      <c r="I24" s="120"/>
      <c r="J24" s="120"/>
    </row>
    <row r="25" spans="1:10" ht="14.25" customHeight="1" x14ac:dyDescent="0.25">
      <c r="A25" s="57" t="s">
        <v>111</v>
      </c>
      <c r="B25" s="92">
        <v>65.400751063100003</v>
      </c>
      <c r="C25" s="94"/>
      <c r="D25" s="91"/>
      <c r="E25" s="147" t="s">
        <v>112</v>
      </c>
      <c r="F25" s="120"/>
      <c r="G25" s="120"/>
      <c r="H25" s="148">
        <v>21.497926658099999</v>
      </c>
      <c r="I25" s="120"/>
      <c r="J25" s="120"/>
    </row>
    <row r="26" spans="1:10" ht="14.25" customHeight="1" x14ac:dyDescent="0.25">
      <c r="A26" s="95" t="s">
        <v>113</v>
      </c>
      <c r="B26" s="92">
        <v>121.4058073241</v>
      </c>
      <c r="C26" s="94"/>
      <c r="D26" s="91"/>
      <c r="E26" s="147" t="s">
        <v>114</v>
      </c>
      <c r="F26" s="120"/>
      <c r="G26" s="120"/>
      <c r="H26" s="148">
        <v>4.4825505091000002</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195</v>
      </c>
      <c r="B1" s="124"/>
      <c r="C1" s="124"/>
      <c r="D1" s="124"/>
      <c r="E1" s="124"/>
      <c r="F1" s="124"/>
      <c r="G1" s="124"/>
      <c r="H1" s="124"/>
      <c r="I1" s="124"/>
    </row>
    <row r="2" spans="1:10" ht="46.5" customHeight="1" x14ac:dyDescent="0.25">
      <c r="A2" s="54" t="s">
        <v>22</v>
      </c>
      <c r="B2" s="43" t="s">
        <v>249</v>
      </c>
      <c r="C2" s="43" t="s">
        <v>196</v>
      </c>
      <c r="D2" s="43" t="s">
        <v>259</v>
      </c>
      <c r="E2" s="43" t="s">
        <v>260</v>
      </c>
      <c r="F2" s="43" t="s">
        <v>261</v>
      </c>
      <c r="G2" s="43" t="s">
        <v>262</v>
      </c>
      <c r="H2" s="43" t="s">
        <v>263</v>
      </c>
      <c r="I2" s="43" t="s">
        <v>264</v>
      </c>
      <c r="J2" s="43" t="s">
        <v>265</v>
      </c>
    </row>
    <row r="3" spans="1:10" x14ac:dyDescent="0.25">
      <c r="A3" s="54" t="s">
        <v>24</v>
      </c>
      <c r="B3" s="97" t="s">
        <v>25</v>
      </c>
      <c r="C3" s="98" t="s">
        <v>197</v>
      </c>
      <c r="D3" s="97" t="s">
        <v>25</v>
      </c>
      <c r="E3" s="97" t="s">
        <v>25</v>
      </c>
      <c r="F3" s="97" t="s">
        <v>25</v>
      </c>
      <c r="G3" s="97" t="s">
        <v>25</v>
      </c>
      <c r="H3" s="97" t="s">
        <v>25</v>
      </c>
      <c r="I3" s="97" t="s">
        <v>25</v>
      </c>
      <c r="J3" s="97" t="s">
        <v>25</v>
      </c>
    </row>
    <row r="4" spans="1:10" s="7" customFormat="1" ht="21.6" x14ac:dyDescent="0.25">
      <c r="A4" s="9" t="s">
        <v>3</v>
      </c>
      <c r="B4" s="99" t="s">
        <v>250</v>
      </c>
      <c r="C4" s="98" t="s">
        <v>197</v>
      </c>
      <c r="D4" s="99" t="s">
        <v>250</v>
      </c>
      <c r="E4" s="99" t="s">
        <v>250</v>
      </c>
      <c r="F4" s="99" t="s">
        <v>250</v>
      </c>
      <c r="G4" s="99" t="s">
        <v>250</v>
      </c>
      <c r="H4" s="99" t="s">
        <v>250</v>
      </c>
      <c r="I4" s="99" t="s">
        <v>250</v>
      </c>
      <c r="J4" s="99" t="s">
        <v>250</v>
      </c>
    </row>
    <row r="5" spans="1:10" s="7" customFormat="1" x14ac:dyDescent="0.25">
      <c r="A5" s="9" t="s">
        <v>29</v>
      </c>
      <c r="B5" s="100" t="s">
        <v>30</v>
      </c>
      <c r="C5" s="98" t="s">
        <v>197</v>
      </c>
      <c r="D5" s="100" t="s">
        <v>30</v>
      </c>
      <c r="E5" s="100" t="s">
        <v>30</v>
      </c>
      <c r="F5" s="100" t="s">
        <v>30</v>
      </c>
      <c r="G5" s="100" t="s">
        <v>30</v>
      </c>
      <c r="H5" s="100" t="s">
        <v>30</v>
      </c>
      <c r="I5" s="100" t="s">
        <v>30</v>
      </c>
      <c r="J5" s="100" t="s">
        <v>30</v>
      </c>
    </row>
    <row r="6" spans="1:10" x14ac:dyDescent="0.25">
      <c r="A6" s="54" t="s">
        <v>32</v>
      </c>
      <c r="B6" s="101">
        <v>121.4058073241</v>
      </c>
      <c r="C6" s="98">
        <v>123.53408597832858</v>
      </c>
      <c r="D6" s="101">
        <v>45.485755424700002</v>
      </c>
      <c r="E6" s="101">
        <v>118.0759539005</v>
      </c>
      <c r="F6" s="101">
        <v>72.0267504901</v>
      </c>
      <c r="G6" s="101">
        <v>164.26693049510001</v>
      </c>
      <c r="H6" s="101">
        <v>287.99501723380001</v>
      </c>
      <c r="I6" s="101">
        <v>33.493476864599998</v>
      </c>
      <c r="J6" s="101">
        <v>143.3947174395</v>
      </c>
    </row>
    <row r="7" spans="1:10" x14ac:dyDescent="0.25">
      <c r="A7" s="54" t="s">
        <v>34</v>
      </c>
      <c r="B7" s="44">
        <v>0.46130499999999997</v>
      </c>
      <c r="C7" s="98">
        <v>0.55503142857142851</v>
      </c>
      <c r="D7" s="44">
        <v>0.49906399999999995</v>
      </c>
      <c r="E7" s="44">
        <v>0.60709299999999999</v>
      </c>
      <c r="F7" s="44">
        <v>0.56703999999999999</v>
      </c>
      <c r="G7" s="44">
        <v>0.51537299999999997</v>
      </c>
      <c r="H7" s="44">
        <v>0.72359399999999996</v>
      </c>
      <c r="I7" s="44">
        <v>0.379469</v>
      </c>
      <c r="J7" s="44">
        <v>0.59358699999999998</v>
      </c>
    </row>
    <row r="8" spans="1:10" x14ac:dyDescent="0.25">
      <c r="A8" s="54" t="s">
        <v>36</v>
      </c>
      <c r="B8" s="101">
        <v>1.6355</v>
      </c>
      <c r="C8" s="98">
        <v>1.3485857142857145</v>
      </c>
      <c r="D8" s="101">
        <v>1.4976</v>
      </c>
      <c r="E8" s="101">
        <v>0.80430000000000001</v>
      </c>
      <c r="F8" s="101">
        <v>1.4389000000000001</v>
      </c>
      <c r="G8" s="101">
        <v>2.4051</v>
      </c>
      <c r="H8" s="101">
        <v>1.2718</v>
      </c>
      <c r="I8" s="101">
        <v>1.8123</v>
      </c>
      <c r="J8" s="101">
        <v>0.21010000000000001</v>
      </c>
    </row>
    <row r="9" spans="1:10" x14ac:dyDescent="0.25">
      <c r="A9" s="54" t="s">
        <v>38</v>
      </c>
      <c r="B9" s="97">
        <v>0.79815899287205683</v>
      </c>
      <c r="C9" s="98">
        <v>0.84758425256478254</v>
      </c>
      <c r="D9" s="97">
        <v>0.44972636697260054</v>
      </c>
      <c r="E9" s="97">
        <v>0.8155150563303637</v>
      </c>
      <c r="F9" s="97">
        <v>1.1379716637509163</v>
      </c>
      <c r="G9" s="97">
        <v>0.58482059888349858</v>
      </c>
      <c r="H9" s="97">
        <v>1.5016341383383771</v>
      </c>
      <c r="I9" s="97">
        <v>0.41580496419544211</v>
      </c>
      <c r="J9" s="97">
        <v>1.0276169794822796</v>
      </c>
    </row>
    <row r="10" spans="1:10" ht="21.6" customHeight="1" x14ac:dyDescent="0.25">
      <c r="A10" s="54" t="s">
        <v>39</v>
      </c>
      <c r="B10" s="101">
        <v>9.0200000000000002E-2</v>
      </c>
      <c r="C10" s="98">
        <v>8.4999999999999992E-2</v>
      </c>
      <c r="D10" s="101">
        <v>0.1056</v>
      </c>
      <c r="E10" s="101">
        <v>7.2400000000000006E-2</v>
      </c>
      <c r="F10" s="101">
        <v>0.22439999999999999</v>
      </c>
      <c r="G10" s="101">
        <v>7.6600000000000001E-2</v>
      </c>
      <c r="H10" s="101">
        <v>6.3600000000000004E-2</v>
      </c>
      <c r="I10" s="101">
        <v>-4.7800000000000002E-2</v>
      </c>
      <c r="J10" s="101">
        <v>0.1002</v>
      </c>
    </row>
    <row r="11" spans="1:10" x14ac:dyDescent="0.25">
      <c r="A11" s="54" t="s">
        <v>40</v>
      </c>
      <c r="B11" s="101">
        <v>22.372407510199999</v>
      </c>
      <c r="C11" s="98">
        <v>27.375627839871431</v>
      </c>
      <c r="D11" s="101">
        <v>17.313932619599999</v>
      </c>
      <c r="E11" s="101">
        <v>41.147879595700005</v>
      </c>
      <c r="F11" s="101">
        <v>16.983410058400001</v>
      </c>
      <c r="G11" s="101">
        <v>8.5287530007000001</v>
      </c>
      <c r="H11" s="101">
        <v>72.823636593700002</v>
      </c>
      <c r="I11" s="101">
        <v>10.4854066776</v>
      </c>
      <c r="J11" s="101">
        <v>24.346376333400002</v>
      </c>
    </row>
    <row r="12" spans="1:10" s="7" customFormat="1" x14ac:dyDescent="0.25">
      <c r="A12" s="9" t="s">
        <v>41</v>
      </c>
      <c r="B12" s="45">
        <v>1.1141000000000001</v>
      </c>
      <c r="C12" s="98">
        <v>1.0984142857142858</v>
      </c>
      <c r="D12" s="45">
        <v>1.1186</v>
      </c>
      <c r="E12" s="45">
        <v>0.86370000000000002</v>
      </c>
      <c r="F12" s="45">
        <v>1.1180000000000001</v>
      </c>
      <c r="G12" s="45">
        <v>1.4041999999999999</v>
      </c>
      <c r="H12" s="45">
        <v>1.0442</v>
      </c>
      <c r="I12" s="45">
        <v>1.1359999999999999</v>
      </c>
      <c r="J12" s="45">
        <v>1.0042</v>
      </c>
    </row>
    <row r="13" spans="1:10" s="7" customFormat="1" x14ac:dyDescent="0.25">
      <c r="A13" s="9" t="s">
        <v>42</v>
      </c>
      <c r="B13" s="45">
        <v>0.127358</v>
      </c>
      <c r="C13" s="98">
        <v>0.20549542857142858</v>
      </c>
      <c r="D13" s="45">
        <v>1.8332999999999999E-2</v>
      </c>
      <c r="E13" s="45">
        <v>0.155194</v>
      </c>
      <c r="F13" s="45">
        <v>0.43341400000000002</v>
      </c>
      <c r="G13" s="45">
        <v>0.36427500000000002</v>
      </c>
      <c r="H13" s="45">
        <v>3.5038E-2</v>
      </c>
      <c r="I13" s="45">
        <v>0.17388200000000001</v>
      </c>
      <c r="J13" s="45">
        <v>0.25833200000000001</v>
      </c>
    </row>
    <row r="14" spans="1:10" s="7" customFormat="1" x14ac:dyDescent="0.25">
      <c r="A14" s="9" t="s">
        <v>43</v>
      </c>
      <c r="B14" s="102">
        <v>1.6409548333000001</v>
      </c>
      <c r="C14" s="98">
        <v>0.94666734922857132</v>
      </c>
      <c r="D14" s="102">
        <v>0.84438884260000002</v>
      </c>
      <c r="E14" s="102">
        <v>0.99182809750000001</v>
      </c>
      <c r="F14" s="102">
        <v>3.8194097607999997</v>
      </c>
      <c r="G14" s="102">
        <v>1.0718871537999999</v>
      </c>
      <c r="H14" s="102">
        <v>1.6306632115000002</v>
      </c>
      <c r="I14" s="102">
        <v>-2.0870275234999998</v>
      </c>
      <c r="J14" s="102">
        <v>0.35552190189999999</v>
      </c>
    </row>
    <row r="15" spans="1:10" x14ac:dyDescent="0.25">
      <c r="A15" s="54" t="s">
        <v>45</v>
      </c>
      <c r="B15" s="44">
        <v>2.6841E-2</v>
      </c>
      <c r="C15" s="98">
        <v>1.0561428571428579E-2</v>
      </c>
      <c r="D15" s="44">
        <v>3.3277000000000001E-2</v>
      </c>
      <c r="E15" s="44">
        <v>1.0224E-2</v>
      </c>
      <c r="F15" s="44">
        <v>0.12656800000000001</v>
      </c>
      <c r="G15" s="44">
        <v>1.3555999999999999E-2</v>
      </c>
      <c r="H15" s="44">
        <v>2.5085000000000003E-2</v>
      </c>
      <c r="I15" s="44">
        <v>-0.11918799999999999</v>
      </c>
      <c r="J15" s="44">
        <v>-1.5592E-2</v>
      </c>
    </row>
    <row r="16" spans="1:10" s="7" customFormat="1" ht="25.8" customHeight="1" x14ac:dyDescent="0.25">
      <c r="A16" s="9" t="s">
        <v>46</v>
      </c>
      <c r="B16" s="102">
        <v>7.7477555816999999</v>
      </c>
      <c r="C16" s="98">
        <v>4.7692954213857144</v>
      </c>
      <c r="D16" s="102">
        <v>-0.92443761859999996</v>
      </c>
      <c r="E16" s="102">
        <v>1.3023077920000001</v>
      </c>
      <c r="F16" s="102">
        <v>10.3573447181</v>
      </c>
      <c r="G16" s="102">
        <v>12.0598991996</v>
      </c>
      <c r="H16" s="102">
        <v>2.6304969384999999</v>
      </c>
      <c r="I16" s="102">
        <v>0.67226875780000006</v>
      </c>
      <c r="J16" s="102">
        <v>7.2871881623000005</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198</v>
      </c>
      <c r="B1" s="124"/>
      <c r="C1" s="124"/>
      <c r="D1" s="124"/>
      <c r="E1" s="124"/>
      <c r="F1" s="124"/>
    </row>
    <row r="2" spans="1:6" x14ac:dyDescent="0.25">
      <c r="A2" s="51" t="s">
        <v>199</v>
      </c>
      <c r="B2" s="50" t="s">
        <v>200</v>
      </c>
      <c r="C2" s="50" t="s">
        <v>201</v>
      </c>
      <c r="D2" s="50" t="s">
        <v>202</v>
      </c>
      <c r="E2" s="50" t="s">
        <v>176</v>
      </c>
      <c r="F2" s="50" t="s">
        <v>203</v>
      </c>
    </row>
    <row r="3" spans="1:6" ht="48" customHeight="1" x14ac:dyDescent="0.25">
      <c r="A3" s="104">
        <v>43518</v>
      </c>
      <c r="B3" s="52" t="s">
        <v>204</v>
      </c>
      <c r="C3" s="105" t="s">
        <v>205</v>
      </c>
      <c r="D3" s="105"/>
      <c r="E3" s="52" t="s">
        <v>206</v>
      </c>
      <c r="F3" s="105" t="s">
        <v>207</v>
      </c>
    </row>
    <row r="4" spans="1:6" ht="49.5" customHeight="1" x14ac:dyDescent="0.25">
      <c r="A4" s="104">
        <v>43496</v>
      </c>
      <c r="B4" s="52" t="s">
        <v>208</v>
      </c>
      <c r="C4" s="105" t="s">
        <v>205</v>
      </c>
      <c r="D4" s="105"/>
      <c r="E4" s="52" t="s">
        <v>179</v>
      </c>
      <c r="F4" s="105" t="s">
        <v>209</v>
      </c>
    </row>
    <row r="5" spans="1:6" ht="22.8" x14ac:dyDescent="0.25">
      <c r="A5" s="104">
        <v>43495</v>
      </c>
      <c r="B5" s="52" t="s">
        <v>210</v>
      </c>
      <c r="C5" s="105" t="s">
        <v>205</v>
      </c>
      <c r="D5" s="105"/>
      <c r="E5" s="52" t="s">
        <v>211</v>
      </c>
      <c r="F5" s="105" t="s">
        <v>212</v>
      </c>
    </row>
    <row r="6" spans="1:6" x14ac:dyDescent="0.25">
      <c r="A6" s="104">
        <v>43455</v>
      </c>
      <c r="B6" s="52" t="s">
        <v>213</v>
      </c>
      <c r="C6" s="105" t="s">
        <v>214</v>
      </c>
      <c r="D6" s="105"/>
      <c r="E6" s="52" t="s">
        <v>215</v>
      </c>
      <c r="F6" s="105"/>
    </row>
    <row r="7" spans="1:6" ht="68.400000000000006" x14ac:dyDescent="0.25">
      <c r="A7" s="104">
        <v>43306</v>
      </c>
      <c r="B7" s="52" t="s">
        <v>216</v>
      </c>
      <c r="C7" s="105" t="s">
        <v>205</v>
      </c>
      <c r="D7" s="105"/>
      <c r="E7" s="52" t="s">
        <v>215</v>
      </c>
      <c r="F7" s="105" t="s">
        <v>217</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218</v>
      </c>
      <c r="B23" s="143"/>
      <c r="C23" s="143"/>
      <c r="D23" s="143"/>
      <c r="E23" s="143"/>
      <c r="F23" s="143"/>
    </row>
    <row r="24" spans="1:6" x14ac:dyDescent="0.25">
      <c r="A24" s="84" t="s">
        <v>199</v>
      </c>
      <c r="B24" s="84" t="s">
        <v>200</v>
      </c>
      <c r="C24" s="84" t="s">
        <v>219</v>
      </c>
      <c r="D24" s="84" t="s">
        <v>220</v>
      </c>
      <c r="E24" s="84" t="s">
        <v>176</v>
      </c>
      <c r="F24" s="84" t="s">
        <v>203</v>
      </c>
    </row>
    <row r="25" spans="1:6" x14ac:dyDescent="0.25">
      <c r="A25" s="107">
        <v>43278</v>
      </c>
      <c r="B25" s="58" t="s">
        <v>221</v>
      </c>
      <c r="C25" s="108"/>
      <c r="D25" s="108" t="s">
        <v>222</v>
      </c>
      <c r="E25" s="58" t="s">
        <v>215</v>
      </c>
      <c r="F25" s="108" t="s">
        <v>223</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224</v>
      </c>
      <c r="B1" s="124"/>
      <c r="C1" s="124"/>
      <c r="D1" s="124"/>
      <c r="E1" s="124"/>
      <c r="F1" s="124"/>
      <c r="G1" s="124"/>
      <c r="H1" s="124"/>
      <c r="I1" s="124"/>
      <c r="J1" s="124"/>
      <c r="K1" s="124"/>
      <c r="L1" s="124"/>
      <c r="M1" s="124"/>
      <c r="N1" s="124"/>
    </row>
    <row r="2" spans="1:18" s="1" customFormat="1" ht="25.5" customHeight="1" x14ac:dyDescent="0.25">
      <c r="A2" s="55" t="s">
        <v>225</v>
      </c>
      <c r="B2" s="55" t="s">
        <v>226</v>
      </c>
      <c r="C2" s="55" t="s">
        <v>227</v>
      </c>
      <c r="D2" s="55" t="s">
        <v>228</v>
      </c>
      <c r="E2" s="55" t="s">
        <v>229</v>
      </c>
      <c r="F2" s="55" t="s">
        <v>230</v>
      </c>
      <c r="G2" s="55" t="s">
        <v>231</v>
      </c>
      <c r="H2" s="55" t="s">
        <v>16</v>
      </c>
      <c r="I2" s="55" t="s">
        <v>232</v>
      </c>
      <c r="J2" s="55" t="s">
        <v>233</v>
      </c>
      <c r="K2" s="55" t="s">
        <v>234</v>
      </c>
      <c r="L2" s="55" t="s">
        <v>235</v>
      </c>
      <c r="M2" s="55" t="s">
        <v>19</v>
      </c>
      <c r="N2" s="55" t="s">
        <v>236</v>
      </c>
      <c r="O2" s="3"/>
      <c r="P2" s="110" t="str">
        <f ca="1">Q2</f>
        <v>2019-04-17</v>
      </c>
      <c r="Q2" s="1" t="str">
        <f ca="1">[1]!td(R2-1)</f>
        <v>2019-04-17</v>
      </c>
      <c r="R2" s="3">
        <f ca="1">TODAY()</f>
        <v>43573</v>
      </c>
    </row>
    <row r="3" spans="1:18" ht="15.75" customHeight="1" x14ac:dyDescent="0.25">
      <c r="A3" s="111" t="str">
        <f>[1]!b_info_name(L3)</f>
        <v>19靖江港MTN001</v>
      </c>
      <c r="B3" s="2" t="str">
        <f>[1]!b_issue_firstissue(L3)</f>
        <v>2019-04-19</v>
      </c>
      <c r="C3" s="111">
        <f>[1]!b_info_term(L3)</f>
        <v>3</v>
      </c>
      <c r="D3" s="112" t="str">
        <f>[1]!issuerrating(L3)</f>
        <v>AA</v>
      </c>
      <c r="E3" s="112" t="str">
        <f>[1]!b_info_creditrating(L3)</f>
        <v>AA</v>
      </c>
      <c r="F3" s="111" t="str">
        <f>[1]!b_rate_creditratingagency(L3)</f>
        <v>联合资信评估有限公司</v>
      </c>
      <c r="G3" s="113">
        <f>[1]!b_agency_guarantor(L3)</f>
        <v>0</v>
      </c>
      <c r="H3" s="114" t="s">
        <v>237</v>
      </c>
      <c r="I3" s="66"/>
      <c r="J3" s="115" t="s">
        <v>237</v>
      </c>
      <c r="K3" s="116"/>
      <c r="L3" s="41" t="str">
        <f>公式页!A2</f>
        <v>q19041709.IB</v>
      </c>
      <c r="M3" s="114" t="s">
        <v>237</v>
      </c>
      <c r="N3" s="111" t="str">
        <f>[1]!b_agency_leadunderwriter(L3)</f>
        <v>招商银行股份有限公司,招商证券股份有限公司</v>
      </c>
      <c r="P3" s="109" t="str">
        <f t="shared" ref="P3:P29" ca="1" si="0">$P$2</f>
        <v>2019-04-17</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3.7271000000000001</v>
      </c>
      <c r="K4" s="116">
        <f>K3</f>
        <v>0</v>
      </c>
      <c r="L4" s="4" t="s">
        <v>238</v>
      </c>
      <c r="M4" s="114">
        <f>[1]!b_info_issueamount(L4)/100000000</f>
        <v>5</v>
      </c>
      <c r="N4" s="111" t="str">
        <f>[1]!b_agency_leadunderwriter(L4)</f>
        <v>上海浦东发展银行股份有限公司,中国国际金融股份有限公司</v>
      </c>
      <c r="P4" s="109" t="str">
        <f t="shared" ca="1" si="0"/>
        <v>2019-04-17</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2019-04-17</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2019-04-17</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2019-04-17</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2019-04-17</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2019-04-17</v>
      </c>
    </row>
    <row r="10" spans="1:18" x14ac:dyDescent="0.25">
      <c r="P10" s="109" t="str">
        <f t="shared" ca="1" si="0"/>
        <v>2019-04-17</v>
      </c>
    </row>
    <row r="11" spans="1:18" x14ac:dyDescent="0.25">
      <c r="P11" s="109" t="str">
        <f t="shared" ca="1" si="0"/>
        <v>2019-04-17</v>
      </c>
    </row>
    <row r="12" spans="1:18" x14ac:dyDescent="0.25">
      <c r="A12" s="150" t="s">
        <v>239</v>
      </c>
      <c r="B12" s="124"/>
      <c r="C12" s="124"/>
      <c r="D12" s="124"/>
      <c r="E12" s="124"/>
      <c r="F12" s="124"/>
      <c r="G12" s="124"/>
      <c r="H12" s="124"/>
      <c r="I12" s="124"/>
      <c r="J12" s="124"/>
      <c r="K12" s="124"/>
      <c r="L12" s="124"/>
      <c r="M12" s="124"/>
      <c r="N12" s="124"/>
      <c r="P12" s="109" t="str">
        <f t="shared" ca="1" si="0"/>
        <v>2019-04-17</v>
      </c>
    </row>
    <row r="13" spans="1:18" s="1" customFormat="1" ht="43.2" customHeight="1" x14ac:dyDescent="0.25">
      <c r="A13" s="55" t="s">
        <v>225</v>
      </c>
      <c r="B13" s="55" t="s">
        <v>226</v>
      </c>
      <c r="C13" s="55" t="s">
        <v>227</v>
      </c>
      <c r="D13" s="55" t="s">
        <v>228</v>
      </c>
      <c r="E13" s="55" t="s">
        <v>229</v>
      </c>
      <c r="F13" s="55" t="s">
        <v>230</v>
      </c>
      <c r="G13" s="55" t="s">
        <v>231</v>
      </c>
      <c r="H13" s="55" t="s">
        <v>16</v>
      </c>
      <c r="I13" s="55" t="s">
        <v>232</v>
      </c>
      <c r="J13" s="55" t="s">
        <v>233</v>
      </c>
      <c r="K13" s="55" t="s">
        <v>234</v>
      </c>
      <c r="L13" s="55" t="s">
        <v>235</v>
      </c>
      <c r="M13" s="55" t="s">
        <v>19</v>
      </c>
      <c r="N13" s="55" t="s">
        <v>236</v>
      </c>
      <c r="P13" s="109" t="str">
        <f t="shared" ca="1" si="0"/>
        <v>2019-04-17</v>
      </c>
    </row>
    <row r="14" spans="1:18" ht="15.75" customHeight="1" x14ac:dyDescent="0.25">
      <c r="A14" s="111" t="str">
        <f>[1]!b_info_name(L14)</f>
        <v>19靖江港MTN001</v>
      </c>
      <c r="B14" s="2" t="str">
        <f>[1]!b_issue_firstissue(L14)</f>
        <v>2019-04-19</v>
      </c>
      <c r="C14" s="111">
        <f>[1]!b_info_term(L14)</f>
        <v>3</v>
      </c>
      <c r="D14" s="112" t="str">
        <f>[1]!issuerrating(L14)</f>
        <v>AA</v>
      </c>
      <c r="E14" s="112" t="str">
        <f>[1]!b_info_creditrating(L14)</f>
        <v>AA</v>
      </c>
      <c r="F14" s="111" t="str">
        <f>[1]!b_rate_creditratingagency(L14)</f>
        <v>联合资信评估有限公司</v>
      </c>
      <c r="G14" s="113">
        <f>[1]!b_agency_guarantor(L14)</f>
        <v>0</v>
      </c>
      <c r="H14" s="114" t="s">
        <v>237</v>
      </c>
      <c r="I14" s="66"/>
      <c r="J14" s="115" t="s">
        <v>237</v>
      </c>
      <c r="K14" s="116">
        <f>K3</f>
        <v>0</v>
      </c>
      <c r="L14" s="42" t="str">
        <f>L3</f>
        <v>q19041709.IB</v>
      </c>
      <c r="M14" s="114" t="s">
        <v>237</v>
      </c>
      <c r="N14" s="111" t="str">
        <f>[1]!b_agency_leadunderwriter(L14)</f>
        <v>招商银行股份有限公司,招商证券股份有限公司</v>
      </c>
      <c r="P14" s="109" t="str">
        <f t="shared" ca="1" si="0"/>
        <v>2019-04-17</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240</v>
      </c>
      <c r="M15" s="114">
        <f>[1]!b_info_issueamount(L15)/100000000</f>
        <v>5</v>
      </c>
      <c r="N15" s="111" t="str">
        <f>[1]!b_agency_leadunderwriter(L15)</f>
        <v>招商银行股份有限公司</v>
      </c>
      <c r="O15" t="str">
        <f>[1]!b_issuer_windindustry(L15,4)</f>
        <v>西药</v>
      </c>
      <c r="P15" s="109" t="str">
        <f t="shared" ca="1" si="0"/>
        <v>2019-04-17</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241</v>
      </c>
      <c r="M16" s="114">
        <f>[1]!b_info_issueamount(L16)/100000000</f>
        <v>6</v>
      </c>
      <c r="N16" s="111" t="str">
        <f>[1]!b_agency_leadunderwriter(L16)</f>
        <v>北京银行股份有限公司</v>
      </c>
      <c r="O16" t="str">
        <f>[1]!b_issuer_windindustry(L16,4)</f>
        <v>化肥与农用化工</v>
      </c>
      <c r="P16" s="109" t="str">
        <f t="shared" ca="1" si="0"/>
        <v>2019-04-17</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242</v>
      </c>
      <c r="M17" s="114">
        <f>[1]!b_info_issueamount(L17)/100000000</f>
        <v>3.5</v>
      </c>
      <c r="N17" s="111" t="str">
        <f>[1]!b_agency_leadunderwriter(L17)</f>
        <v>华夏银行股份有限公司</v>
      </c>
      <c r="O17" t="str">
        <f>[1]!b_issuer_windindustry(L17,4)</f>
        <v>食品加工与肉类</v>
      </c>
      <c r="P17" s="109" t="str">
        <f t="shared" ca="1" si="0"/>
        <v>2019-04-17</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243</v>
      </c>
      <c r="M18" s="114">
        <f>[1]!b_info_issueamount(L18)/100000000</f>
        <v>3</v>
      </c>
      <c r="N18" s="111" t="str">
        <f>[1]!b_agency_leadunderwriter(L18)</f>
        <v>兴业银行股份有限公司</v>
      </c>
      <c r="O18" t="str">
        <f>[1]!b_issuer_windindustry(L18,4)</f>
        <v>工业机械</v>
      </c>
      <c r="P18" s="109" t="str">
        <f t="shared" ca="1" si="0"/>
        <v>2019-04-17</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244</v>
      </c>
      <c r="M19" s="114">
        <f>[1]!b_info_issueamount(L19)/100000000</f>
        <v>3</v>
      </c>
      <c r="N19" s="111" t="str">
        <f>[1]!b_agency_leadunderwriter(L19)</f>
        <v>中国银行股份有限公司</v>
      </c>
      <c r="O19" t="str">
        <f>[1]!b_issuer_windindustry(L19,4)</f>
        <v>半导体产品</v>
      </c>
      <c r="P19" s="109" t="str">
        <f t="shared" ca="1" si="0"/>
        <v>2019-04-17</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245</v>
      </c>
      <c r="M20" s="114">
        <f>[1]!b_info_issueamount(L20)/100000000</f>
        <v>5</v>
      </c>
      <c r="N20" s="111" t="str">
        <f>[1]!b_agency_leadunderwriter(L20)</f>
        <v>中国银行股份有限公司</v>
      </c>
      <c r="O20" t="str">
        <f>[1]!b_issuer_windindustry(L20,4)</f>
        <v>医疗保健用品</v>
      </c>
      <c r="P20" s="109" t="str">
        <f t="shared" ca="1" si="0"/>
        <v>2019-04-17</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246</v>
      </c>
      <c r="M21" s="114">
        <f>[1]!b_info_issueamount(L21)/100000000</f>
        <v>2</v>
      </c>
      <c r="N21" s="111" t="str">
        <f>[1]!b_agency_leadunderwriter(L21)</f>
        <v>中国银行股份有限公司</v>
      </c>
      <c r="O21" t="str">
        <f>[1]!b_issuer_windindustry(L21,4)</f>
        <v>食品加工与肉类</v>
      </c>
      <c r="P21" s="109" t="str">
        <f t="shared" ca="1" si="0"/>
        <v>2019-04-17</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247</v>
      </c>
      <c r="M22" s="114">
        <f>[1]!b_info_issueamount(L22)/100000000</f>
        <v>4</v>
      </c>
      <c r="N22" s="111" t="str">
        <f>[1]!b_agency_leadunderwriter(L22)</f>
        <v>中国工商银行股份有限公司</v>
      </c>
      <c r="O22" t="str">
        <f>[1]!b_issuer_windindustry(L22,4)</f>
        <v>酒店、度假村与豪华游轮</v>
      </c>
      <c r="P22" s="109" t="str">
        <f t="shared" ca="1" si="0"/>
        <v>2019-04-17</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248</v>
      </c>
      <c r="M23" s="114">
        <f>[1]!b_info_issueamount(L23)/100000000</f>
        <v>4</v>
      </c>
      <c r="N23" s="111" t="str">
        <f>[1]!b_agency_leadunderwriter(L23)</f>
        <v>中国银行股份有限公司</v>
      </c>
      <c r="O23" t="str">
        <f>[1]!b_issuer_windindustry(L23,4)</f>
        <v>金属非金属</v>
      </c>
      <c r="P23" s="109" t="str">
        <f t="shared" ca="1" si="0"/>
        <v>2019-04-17</v>
      </c>
    </row>
    <row r="24" spans="1:16" x14ac:dyDescent="0.25">
      <c r="P24" s="109" t="str">
        <f t="shared" ca="1" si="0"/>
        <v>2019-04-17</v>
      </c>
    </row>
    <row r="25" spans="1:16" x14ac:dyDescent="0.25">
      <c r="P25" s="109" t="str">
        <f t="shared" ca="1" si="0"/>
        <v>2019-04-17</v>
      </c>
    </row>
    <row r="26" spans="1:16" x14ac:dyDescent="0.25">
      <c r="P26" s="109" t="str">
        <f t="shared" ca="1" si="0"/>
        <v>2019-04-17</v>
      </c>
    </row>
    <row r="27" spans="1:16" x14ac:dyDescent="0.25">
      <c r="P27" s="109" t="str">
        <f t="shared" ca="1" si="0"/>
        <v>2019-04-17</v>
      </c>
    </row>
    <row r="28" spans="1:16" x14ac:dyDescent="0.25">
      <c r="P28" s="109" t="str">
        <f t="shared" ca="1" si="0"/>
        <v>2019-04-17</v>
      </c>
    </row>
    <row r="29" spans="1:16" x14ac:dyDescent="0.25">
      <c r="P29" s="109"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2019-04-18T07:43:03Z</dcterms:modified>
</cp:coreProperties>
</file>